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11040" firstSheet="2" activeTab="2"/>
  </bookViews>
  <sheets>
    <sheet name="NEW" sheetId="2" state="hidden" r:id="rId1"/>
    <sheet name="NEW (2)" sheetId="3" state="hidden" r:id="rId2"/>
    <sheet name="celkový plán 2018" sheetId="4" r:id="rId3"/>
    <sheet name="Zdůvodnění navýšení ON" sheetId="23" r:id="rId4"/>
    <sheet name="Zdůvodnění navýšení ostatní" sheetId="32" r:id="rId5"/>
    <sheet name="3900" sheetId="5" r:id="rId6"/>
    <sheet name="3923" sheetId="6" r:id="rId7"/>
    <sheet name="3901" sheetId="13" r:id="rId8"/>
    <sheet name="3903" sheetId="8" r:id="rId9"/>
    <sheet name="3904" sheetId="7" r:id="rId10"/>
    <sheet name="3905" sheetId="29" r:id="rId11"/>
    <sheet name="3906" sheetId="30" r:id="rId12"/>
    <sheet name="3907" sheetId="9" r:id="rId13"/>
    <sheet name="3908" sheetId="10" r:id="rId14"/>
    <sheet name="3911 " sheetId="24" r:id="rId15"/>
    <sheet name="3913" sheetId="16" r:id="rId16"/>
    <sheet name="3940 " sheetId="25" r:id="rId17"/>
    <sheet name="3916" sheetId="18" r:id="rId18"/>
    <sheet name="3914" sheetId="17" r:id="rId19"/>
    <sheet name="3941" sheetId="21" r:id="rId20"/>
    <sheet name="3912" sheetId="26" r:id="rId21"/>
    <sheet name="3919" sheetId="22" r:id="rId22"/>
    <sheet name="3918" sheetId="19" r:id="rId23"/>
    <sheet name="3915" sheetId="12" r:id="rId24"/>
    <sheet name="3917" sheetId="27" r:id="rId25"/>
    <sheet name="3740" sheetId="31" r:id="rId26"/>
    <sheet name="3960" sheetId="11" r:id="rId27"/>
    <sheet name="3210" sheetId="28" r:id="rId28"/>
  </sheets>
  <externalReferences>
    <externalReference r:id="rId29"/>
    <externalReference r:id="rId30"/>
  </externalReferences>
  <definedNames>
    <definedName name="_xlnm._FilterDatabase" localSheetId="19" hidden="1">'3941'!$A$2:$D$11</definedName>
    <definedName name="_xlnm.Print_Area" localSheetId="20">'3912'!$A$1:$E$48</definedName>
    <definedName name="_xlnm.Print_Area" localSheetId="15">'3913'!$A$1:$D$44</definedName>
    <definedName name="_xlnm.Print_Area" localSheetId="16">'3940 '!$A$1:$D$42</definedName>
    <definedName name="_xlnm.Print_Area" localSheetId="2">'celkový plán 2018'!$B$1:$L$43</definedName>
    <definedName name="_xlnm.Print_Area" localSheetId="1">'NEW (2)'!$B$1:$K$38</definedName>
    <definedName name="_xlnm.Print_Area" localSheetId="3">'Zdůvodnění navýšení ON'!$B$1:$H$43</definedName>
    <definedName name="_xlnm.Print_Area" localSheetId="4">'Zdůvodnění navýšení ostatní'!$B$1:$R$35</definedName>
  </definedNames>
  <calcPr calcId="145621"/>
</workbook>
</file>

<file path=xl/calcChain.xml><?xml version="1.0" encoding="utf-8"?>
<calcChain xmlns="http://schemas.openxmlformats.org/spreadsheetml/2006/main">
  <c r="M22" i="4" l="1"/>
  <c r="M23" i="4"/>
  <c r="O31" i="4" l="1"/>
  <c r="O30" i="4"/>
  <c r="O29" i="4"/>
  <c r="O28" i="4"/>
  <c r="O27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M5" i="4"/>
  <c r="M19" i="4"/>
  <c r="M15" i="4"/>
  <c r="M24" i="4"/>
  <c r="M25" i="4"/>
  <c r="M10" i="4"/>
  <c r="M11" i="4"/>
  <c r="M9" i="4"/>
  <c r="M12" i="4"/>
  <c r="N12" i="4" s="1"/>
  <c r="M17" i="4"/>
  <c r="N17" i="4" s="1"/>
  <c r="M21" i="4"/>
  <c r="M30" i="4"/>
  <c r="M29" i="4"/>
  <c r="M28" i="4"/>
  <c r="M27" i="4"/>
  <c r="N27" i="4" s="1"/>
  <c r="M31" i="4"/>
  <c r="M6" i="4"/>
  <c r="N5" i="4"/>
  <c r="N31" i="4"/>
  <c r="N30" i="4"/>
  <c r="N29" i="4"/>
  <c r="N28" i="4"/>
  <c r="N26" i="4"/>
  <c r="N25" i="4"/>
  <c r="N24" i="4"/>
  <c r="N23" i="4"/>
  <c r="N22" i="4"/>
  <c r="N21" i="4"/>
  <c r="N20" i="4"/>
  <c r="N19" i="4"/>
  <c r="N18" i="4"/>
  <c r="N16" i="4"/>
  <c r="N15" i="4"/>
  <c r="N14" i="4"/>
  <c r="N13" i="4"/>
  <c r="N11" i="4"/>
  <c r="N10" i="4"/>
  <c r="N9" i="4"/>
  <c r="N8" i="4"/>
  <c r="N7" i="4"/>
  <c r="N6" i="4"/>
  <c r="M26" i="4"/>
  <c r="M20" i="4"/>
  <c r="M18" i="4"/>
  <c r="M16" i="4"/>
  <c r="M14" i="4"/>
  <c r="M13" i="4"/>
  <c r="M8" i="4"/>
  <c r="M7" i="4"/>
  <c r="M32" i="4" l="1"/>
  <c r="N32" i="4"/>
  <c r="P6" i="32"/>
  <c r="P7" i="32"/>
  <c r="P8" i="32"/>
  <c r="P9" i="32"/>
  <c r="P10" i="32"/>
  <c r="P11" i="32"/>
  <c r="P12" i="32"/>
  <c r="P13" i="32"/>
  <c r="P22" i="32"/>
  <c r="P23" i="32"/>
  <c r="P24" i="32"/>
  <c r="P25" i="32"/>
  <c r="P26" i="32"/>
  <c r="P27" i="32"/>
  <c r="P28" i="32"/>
  <c r="P29" i="32"/>
  <c r="P30" i="32"/>
  <c r="P31" i="32"/>
  <c r="P5" i="32"/>
  <c r="M6" i="32"/>
  <c r="M7" i="32"/>
  <c r="M8" i="32"/>
  <c r="M9" i="32"/>
  <c r="M10" i="32"/>
  <c r="M11" i="32"/>
  <c r="M12" i="32"/>
  <c r="M13" i="32"/>
  <c r="M22" i="32"/>
  <c r="M23" i="32"/>
  <c r="M24" i="32"/>
  <c r="M25" i="32"/>
  <c r="M26" i="32"/>
  <c r="M27" i="32"/>
  <c r="M28" i="32"/>
  <c r="M29" i="32"/>
  <c r="M30" i="32"/>
  <c r="M31" i="32"/>
  <c r="M5" i="32"/>
  <c r="O32" i="32"/>
  <c r="L32" i="32"/>
  <c r="S12" i="32"/>
  <c r="S26" i="32"/>
  <c r="S31" i="32"/>
  <c r="S28" i="32"/>
  <c r="S27" i="32"/>
  <c r="T23" i="32"/>
  <c r="S21" i="32"/>
  <c r="S17" i="32"/>
  <c r="Q18" i="32"/>
  <c r="Q14" i="32"/>
  <c r="N18" i="32"/>
  <c r="N14" i="32"/>
  <c r="P14" i="32" s="1"/>
  <c r="S29" i="32"/>
  <c r="S25" i="32"/>
  <c r="T19" i="32"/>
  <c r="K18" i="32"/>
  <c r="K14" i="32"/>
  <c r="M14" i="32" s="1"/>
  <c r="J18" i="32"/>
  <c r="J14" i="32"/>
  <c r="G18" i="32"/>
  <c r="G14" i="32"/>
  <c r="D18" i="32"/>
  <c r="D14" i="32"/>
  <c r="H18" i="23"/>
  <c r="U32" i="32"/>
  <c r="I31" i="32"/>
  <c r="F31" i="32"/>
  <c r="S30" i="32"/>
  <c r="I30" i="32"/>
  <c r="F30" i="32"/>
  <c r="I29" i="32"/>
  <c r="F29" i="32"/>
  <c r="I28" i="32"/>
  <c r="F28" i="32"/>
  <c r="I27" i="32"/>
  <c r="F27" i="32"/>
  <c r="I26" i="32"/>
  <c r="F26" i="32"/>
  <c r="I25" i="32"/>
  <c r="F25" i="32"/>
  <c r="T24" i="32"/>
  <c r="I24" i="32"/>
  <c r="F24" i="32"/>
  <c r="I23" i="32"/>
  <c r="F23" i="32"/>
  <c r="T22" i="32"/>
  <c r="S22" i="32" s="1"/>
  <c r="I22" i="32"/>
  <c r="F22" i="32"/>
  <c r="T20" i="32"/>
  <c r="S20" i="32" s="1"/>
  <c r="E32" i="32"/>
  <c r="T13" i="32"/>
  <c r="S13" i="32" s="1"/>
  <c r="I13" i="32"/>
  <c r="F13" i="32"/>
  <c r="I12" i="32"/>
  <c r="F12" i="32"/>
  <c r="T11" i="32"/>
  <c r="I11" i="32"/>
  <c r="F11" i="32"/>
  <c r="S10" i="32"/>
  <c r="I10" i="32"/>
  <c r="F10" i="32"/>
  <c r="T9" i="32"/>
  <c r="I9" i="32"/>
  <c r="F9" i="32"/>
  <c r="T8" i="32"/>
  <c r="I8" i="32"/>
  <c r="F8" i="32"/>
  <c r="T7" i="32"/>
  <c r="I7" i="32"/>
  <c r="F7" i="32"/>
  <c r="T6" i="32"/>
  <c r="I6" i="32"/>
  <c r="F6" i="32"/>
  <c r="T5" i="32"/>
  <c r="I5" i="32"/>
  <c r="F5" i="32"/>
  <c r="C42" i="31"/>
  <c r="B42" i="31"/>
  <c r="D41" i="31"/>
  <c r="D40" i="31"/>
  <c r="D42" i="31" s="1"/>
  <c r="D37" i="31"/>
  <c r="D36" i="31"/>
  <c r="D30" i="31"/>
  <c r="C30" i="31"/>
  <c r="B30" i="31"/>
  <c r="D29" i="31"/>
  <c r="D25" i="31"/>
  <c r="C25" i="31"/>
  <c r="B25" i="31"/>
  <c r="D24" i="31"/>
  <c r="C21" i="31"/>
  <c r="B21" i="31"/>
  <c r="D19" i="31"/>
  <c r="D18" i="31"/>
  <c r="D17" i="31"/>
  <c r="D21" i="31" s="1"/>
  <c r="D16" i="31"/>
  <c r="D11" i="31"/>
  <c r="D10" i="31"/>
  <c r="C10" i="31"/>
  <c r="C13" i="31" s="1"/>
  <c r="C44" i="31" s="1"/>
  <c r="C46" i="31" s="1"/>
  <c r="D9" i="31"/>
  <c r="D8" i="31"/>
  <c r="B8" i="31"/>
  <c r="D7" i="31"/>
  <c r="D6" i="31"/>
  <c r="B6" i="31"/>
  <c r="B13" i="31" s="1"/>
  <c r="D5" i="31"/>
  <c r="D4" i="31"/>
  <c r="D13" i="31" s="1"/>
  <c r="D44" i="31" s="1"/>
  <c r="D46" i="31" s="1"/>
  <c r="N32" i="32" l="1"/>
  <c r="B44" i="31"/>
  <c r="B46" i="31" s="1"/>
  <c r="J32" i="32"/>
  <c r="K32" i="32"/>
  <c r="P18" i="32"/>
  <c r="Q32" i="32"/>
  <c r="P32" i="32"/>
  <c r="G32" i="32"/>
  <c r="H32" i="32"/>
  <c r="D32" i="32"/>
  <c r="M18" i="32"/>
  <c r="M32" i="32" s="1"/>
  <c r="T15" i="32"/>
  <c r="S15" i="32" s="1"/>
  <c r="S6" i="32"/>
  <c r="T18" i="32"/>
  <c r="S5" i="32"/>
  <c r="S11" i="32"/>
  <c r="T16" i="32"/>
  <c r="S23" i="32"/>
  <c r="S7" i="32"/>
  <c r="S8" i="32"/>
  <c r="I32" i="32"/>
  <c r="S9" i="32"/>
  <c r="S19" i="32"/>
  <c r="S18" i="32" s="1"/>
  <c r="S24" i="32"/>
  <c r="E39" i="30"/>
  <c r="C39" i="30"/>
  <c r="B39" i="30"/>
  <c r="G37" i="30"/>
  <c r="D37" i="30"/>
  <c r="G27" i="30"/>
  <c r="F27" i="30"/>
  <c r="F39" i="30" s="1"/>
  <c r="D27" i="30"/>
  <c r="G24" i="30"/>
  <c r="D24" i="30"/>
  <c r="G21" i="30"/>
  <c r="D21" i="30"/>
  <c r="G6" i="30"/>
  <c r="G13" i="30" s="1"/>
  <c r="D6" i="30"/>
  <c r="D13" i="30" s="1"/>
  <c r="D39" i="30" s="1"/>
  <c r="G39" i="30" l="1"/>
  <c r="T14" i="32"/>
  <c r="T32" i="32" s="1"/>
  <c r="F32" i="32"/>
  <c r="S16" i="32"/>
  <c r="S14" i="32" s="1"/>
  <c r="S32" i="32" s="1"/>
  <c r="B44" i="29"/>
  <c r="D42" i="29"/>
  <c r="C42" i="29"/>
  <c r="D30" i="29"/>
  <c r="C30" i="29"/>
  <c r="D25" i="29"/>
  <c r="C25" i="29"/>
  <c r="D21" i="29"/>
  <c r="C21" i="29"/>
  <c r="D13" i="29"/>
  <c r="C13" i="29"/>
  <c r="D44" i="29" l="1"/>
  <c r="C44" i="29"/>
  <c r="T33" i="32"/>
  <c r="C44" i="28"/>
  <c r="B44" i="28"/>
  <c r="D42" i="28"/>
  <c r="D30" i="28"/>
  <c r="D44" i="28" s="1"/>
  <c r="D25" i="28"/>
  <c r="D21" i="28"/>
  <c r="D13" i="28"/>
  <c r="D11" i="18" l="1"/>
  <c r="D25" i="18"/>
  <c r="D17" i="18"/>
  <c r="D42" i="18" s="1"/>
  <c r="D25" i="17"/>
  <c r="D25" i="21"/>
  <c r="D11" i="21"/>
  <c r="D36" i="21"/>
  <c r="D17" i="21"/>
  <c r="D42" i="21" s="1"/>
  <c r="D36" i="17"/>
  <c r="D17" i="17"/>
  <c r="D11" i="17"/>
  <c r="D42" i="17" s="1"/>
  <c r="D37" i="27"/>
  <c r="D31" i="27"/>
  <c r="D25" i="27"/>
  <c r="D17" i="27"/>
  <c r="D43" i="27" s="1"/>
  <c r="B44" i="26"/>
  <c r="M43" i="26"/>
  <c r="D42" i="26"/>
  <c r="C42" i="26"/>
  <c r="M41" i="26"/>
  <c r="M40" i="26"/>
  <c r="M39" i="26"/>
  <c r="M38" i="26"/>
  <c r="L37" i="26"/>
  <c r="L42" i="26" s="1"/>
  <c r="M36" i="26"/>
  <c r="M35" i="26"/>
  <c r="M34" i="26"/>
  <c r="M33" i="26"/>
  <c r="M32" i="26"/>
  <c r="M31" i="26"/>
  <c r="L30" i="26"/>
  <c r="M30" i="26" s="1"/>
  <c r="D30" i="26"/>
  <c r="M29" i="26"/>
  <c r="M28" i="26"/>
  <c r="M27" i="26"/>
  <c r="M26" i="26"/>
  <c r="L25" i="26"/>
  <c r="M25" i="26" s="1"/>
  <c r="D25" i="26"/>
  <c r="M24" i="26"/>
  <c r="M23" i="26"/>
  <c r="M22" i="26"/>
  <c r="L21" i="26"/>
  <c r="D21" i="26"/>
  <c r="M20" i="26"/>
  <c r="M19" i="26"/>
  <c r="C19" i="26"/>
  <c r="M18" i="26"/>
  <c r="M17" i="26"/>
  <c r="M16" i="26"/>
  <c r="M15" i="26"/>
  <c r="M14" i="26"/>
  <c r="C13" i="26"/>
  <c r="C44" i="26" s="1"/>
  <c r="M12" i="26"/>
  <c r="M11" i="26"/>
  <c r="M10" i="26"/>
  <c r="M9" i="26"/>
  <c r="L8" i="26"/>
  <c r="L13" i="26" s="1"/>
  <c r="D8" i="26"/>
  <c r="D13" i="26" s="1"/>
  <c r="D44" i="26" s="1"/>
  <c r="M7" i="26"/>
  <c r="M6" i="26"/>
  <c r="M5" i="26"/>
  <c r="M4" i="26"/>
  <c r="M3" i="26"/>
  <c r="M13" i="26" l="1"/>
  <c r="M21" i="26"/>
  <c r="M37" i="26"/>
  <c r="M8" i="26"/>
  <c r="L44" i="26"/>
  <c r="M44" i="26" s="1"/>
  <c r="M42" i="26"/>
  <c r="D42" i="25" l="1"/>
  <c r="C42" i="25"/>
  <c r="B42" i="25"/>
  <c r="B40" i="24" l="1"/>
  <c r="B36" i="24"/>
  <c r="B31" i="24"/>
  <c r="B25" i="24"/>
  <c r="B21" i="24"/>
  <c r="B17" i="24"/>
  <c r="B11" i="24"/>
  <c r="B42" i="24" l="1"/>
  <c r="F29" i="23"/>
  <c r="F30" i="23"/>
  <c r="F31" i="23"/>
  <c r="F28" i="23"/>
  <c r="F27" i="23"/>
  <c r="F26" i="23"/>
  <c r="F25" i="23"/>
  <c r="F24" i="23"/>
  <c r="F22" i="23"/>
  <c r="F23" i="23"/>
  <c r="F15" i="23"/>
  <c r="F14" i="23" s="1"/>
  <c r="H14" i="23"/>
  <c r="H32" i="23" s="1"/>
  <c r="G18" i="23"/>
  <c r="G14" i="23"/>
  <c r="F6" i="23"/>
  <c r="F7" i="23"/>
  <c r="F8" i="23"/>
  <c r="F9" i="23"/>
  <c r="F10" i="23"/>
  <c r="F11" i="23"/>
  <c r="F12" i="23"/>
  <c r="F13" i="23"/>
  <c r="F5" i="23"/>
  <c r="E14" i="23"/>
  <c r="E32" i="23" s="1"/>
  <c r="C40" i="23"/>
  <c r="K32" i="23"/>
  <c r="I31" i="23"/>
  <c r="I30" i="23"/>
  <c r="I29" i="23"/>
  <c r="I28" i="23"/>
  <c r="I27" i="23"/>
  <c r="I26" i="23"/>
  <c r="I25" i="23"/>
  <c r="J24" i="23"/>
  <c r="J23" i="23"/>
  <c r="J22" i="23"/>
  <c r="I21" i="23"/>
  <c r="J20" i="23"/>
  <c r="J19" i="23"/>
  <c r="D18" i="23"/>
  <c r="I17" i="23"/>
  <c r="J16" i="23"/>
  <c r="I16" i="23" s="1"/>
  <c r="D14" i="23"/>
  <c r="J13" i="23"/>
  <c r="I13" i="23" s="1"/>
  <c r="I12" i="23"/>
  <c r="J11" i="23"/>
  <c r="I10" i="23"/>
  <c r="J9" i="23"/>
  <c r="J8" i="23"/>
  <c r="J7" i="23"/>
  <c r="J6" i="23"/>
  <c r="J5" i="23"/>
  <c r="I7" i="23" l="1"/>
  <c r="I6" i="23"/>
  <c r="I8" i="23"/>
  <c r="I11" i="23"/>
  <c r="F32" i="23"/>
  <c r="G32" i="23"/>
  <c r="I5" i="23"/>
  <c r="I19" i="23"/>
  <c r="I22" i="23"/>
  <c r="D32" i="23"/>
  <c r="J18" i="23"/>
  <c r="I24" i="23"/>
  <c r="I9" i="23"/>
  <c r="J15" i="23"/>
  <c r="J14" i="23" s="1"/>
  <c r="I20" i="23"/>
  <c r="I23" i="23"/>
  <c r="D42" i="16"/>
  <c r="C42" i="16"/>
  <c r="B40" i="16"/>
  <c r="B36" i="16"/>
  <c r="B31" i="16"/>
  <c r="B25" i="16"/>
  <c r="B21" i="16"/>
  <c r="B17" i="16"/>
  <c r="B42" i="16" l="1"/>
  <c r="J32" i="23"/>
  <c r="I15" i="23"/>
  <c r="I14" i="23" s="1"/>
  <c r="I18" i="23"/>
  <c r="I32" i="23" l="1"/>
  <c r="J33" i="23" s="1"/>
  <c r="B44" i="13"/>
  <c r="D42" i="13"/>
  <c r="C42" i="13"/>
  <c r="D30" i="13"/>
  <c r="C30" i="13"/>
  <c r="D25" i="13"/>
  <c r="C25" i="13"/>
  <c r="D21" i="13"/>
  <c r="C21" i="13"/>
  <c r="D13" i="13"/>
  <c r="D44" i="13" s="1"/>
  <c r="C13" i="13"/>
  <c r="C44" i="13" s="1"/>
  <c r="D43" i="12" l="1"/>
  <c r="C43" i="12"/>
  <c r="D33" i="12"/>
  <c r="C33" i="12"/>
  <c r="B33" i="12"/>
  <c r="D30" i="12"/>
  <c r="C30" i="12"/>
  <c r="B30" i="12"/>
  <c r="B45" i="12" s="1"/>
  <c r="D25" i="12"/>
  <c r="C25" i="12"/>
  <c r="B25" i="12"/>
  <c r="D21" i="12"/>
  <c r="C21" i="12"/>
  <c r="B21" i="12"/>
  <c r="D13" i="12"/>
  <c r="C13" i="12"/>
  <c r="C45" i="12" s="1"/>
  <c r="B13" i="12"/>
  <c r="D45" i="12" l="1"/>
  <c r="B45" i="11"/>
  <c r="D43" i="11"/>
  <c r="D45" i="11" s="1"/>
  <c r="C43" i="11"/>
  <c r="C24" i="11"/>
  <c r="D12" i="11"/>
  <c r="C12" i="11"/>
  <c r="C45" i="11" l="1"/>
  <c r="B44" i="10"/>
  <c r="D42" i="10"/>
  <c r="D44" i="10" s="1"/>
  <c r="D30" i="10"/>
  <c r="C30" i="10"/>
  <c r="D25" i="10"/>
  <c r="C25" i="10"/>
  <c r="D21" i="10"/>
  <c r="D13" i="10"/>
  <c r="C13" i="10"/>
  <c r="C44" i="10" s="1"/>
  <c r="D42" i="9" l="1"/>
  <c r="C42" i="9"/>
  <c r="D29" i="9"/>
  <c r="D44" i="9" s="1"/>
  <c r="C29" i="9"/>
  <c r="B29" i="9"/>
  <c r="B44" i="9" s="1"/>
  <c r="D24" i="9"/>
  <c r="C24" i="9"/>
  <c r="D20" i="9"/>
  <c r="C20" i="9"/>
  <c r="D12" i="9"/>
  <c r="C12" i="9"/>
  <c r="C44" i="9" s="1"/>
  <c r="F39" i="8" l="1"/>
  <c r="C39" i="8"/>
  <c r="B39" i="8"/>
  <c r="G37" i="8"/>
  <c r="G35" i="8"/>
  <c r="D35" i="8"/>
  <c r="D37" i="8" s="1"/>
  <c r="E37" i="8" s="1"/>
  <c r="G27" i="8"/>
  <c r="D27" i="8"/>
  <c r="E27" i="8" s="1"/>
  <c r="G24" i="8"/>
  <c r="D24" i="8"/>
  <c r="E24" i="8" s="1"/>
  <c r="G21" i="8"/>
  <c r="E21" i="8"/>
  <c r="D21" i="8"/>
  <c r="D13" i="8"/>
  <c r="D39" i="8" s="1"/>
  <c r="G6" i="8"/>
  <c r="G13" i="8" s="1"/>
  <c r="G39" i="8" s="1"/>
  <c r="D6" i="8"/>
  <c r="E13" i="8" l="1"/>
  <c r="E39" i="8" s="1"/>
  <c r="D45" i="7" l="1"/>
  <c r="C45" i="7"/>
  <c r="D31" i="7"/>
  <c r="C31" i="7"/>
  <c r="B31" i="7"/>
  <c r="D26" i="7"/>
  <c r="C26" i="7"/>
  <c r="B26" i="7"/>
  <c r="B47" i="7" s="1"/>
  <c r="D21" i="7"/>
  <c r="C21" i="7"/>
  <c r="B21" i="7"/>
  <c r="D13" i="7"/>
  <c r="C13" i="7"/>
  <c r="C47" i="7" l="1"/>
  <c r="D47" i="7"/>
  <c r="B45" i="6"/>
  <c r="D43" i="6"/>
  <c r="C43" i="6"/>
  <c r="D24" i="6"/>
  <c r="D45" i="6" s="1"/>
  <c r="D20" i="6"/>
  <c r="D12" i="6"/>
  <c r="C12" i="6"/>
  <c r="C45" i="6" s="1"/>
  <c r="B48" i="5" l="1"/>
  <c r="D46" i="5"/>
  <c r="C46" i="5"/>
  <c r="D42" i="5"/>
  <c r="C42" i="5"/>
  <c r="D30" i="5"/>
  <c r="C30" i="5"/>
  <c r="D25" i="5"/>
  <c r="C25" i="5"/>
  <c r="D21" i="5"/>
  <c r="C21" i="5"/>
  <c r="C48" i="5" s="1"/>
  <c r="D13" i="5"/>
  <c r="C13" i="5"/>
  <c r="D48" i="5" l="1"/>
  <c r="L23" i="4"/>
  <c r="L24" i="4"/>
  <c r="L25" i="4"/>
  <c r="L26" i="4"/>
  <c r="L27" i="4"/>
  <c r="L28" i="4"/>
  <c r="L29" i="4"/>
  <c r="L30" i="4"/>
  <c r="L31" i="4"/>
  <c r="L8" i="4"/>
  <c r="L9" i="4"/>
  <c r="L10" i="4"/>
  <c r="L11" i="4"/>
  <c r="L12" i="4"/>
  <c r="L13" i="4"/>
  <c r="L39" i="4" l="1"/>
  <c r="L19" i="4" l="1"/>
  <c r="E18" i="4"/>
  <c r="F18" i="4"/>
  <c r="K18" i="4"/>
  <c r="J18" i="4"/>
  <c r="I18" i="4"/>
  <c r="H18" i="4"/>
  <c r="G18" i="4"/>
  <c r="E14" i="4"/>
  <c r="L15" i="4"/>
  <c r="K14" i="4"/>
  <c r="J14" i="4"/>
  <c r="I14" i="4"/>
  <c r="H14" i="4"/>
  <c r="G14" i="4"/>
  <c r="F14" i="4"/>
  <c r="E32" i="4" l="1"/>
  <c r="F32" i="4"/>
  <c r="I32" i="4"/>
  <c r="K32" i="4"/>
  <c r="G32" i="4"/>
  <c r="H32" i="4"/>
  <c r="J32" i="4"/>
  <c r="L18" i="4"/>
  <c r="L16" i="4" l="1"/>
  <c r="L20" i="4"/>
  <c r="L21" i="4"/>
  <c r="L5" i="4" l="1"/>
  <c r="L6" i="4"/>
  <c r="L7" i="4"/>
  <c r="L14" i="4"/>
  <c r="L17" i="4"/>
  <c r="L22" i="4"/>
  <c r="L32" i="4" l="1"/>
  <c r="H37" i="4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6" i="3"/>
  <c r="C40" i="4"/>
  <c r="H38" i="4" s="1"/>
  <c r="H40" i="4" l="1"/>
  <c r="F29" i="3"/>
  <c r="G29" i="3"/>
  <c r="H29" i="3"/>
  <c r="I29" i="3"/>
  <c r="J29" i="3"/>
  <c r="K34" i="3" l="1"/>
  <c r="K36" i="3" s="1"/>
  <c r="J36" i="3" l="1"/>
  <c r="G36" i="3" l="1"/>
  <c r="D36" i="3"/>
  <c r="E29" i="3"/>
  <c r="D29" i="3"/>
  <c r="K29" i="3" l="1"/>
  <c r="J29" i="2"/>
  <c r="J32" i="2" l="1"/>
  <c r="K17" i="2"/>
  <c r="K15" i="2"/>
  <c r="K14" i="2"/>
  <c r="K21" i="2"/>
  <c r="D32" i="2" l="1"/>
  <c r="K6" i="2"/>
  <c r="K7" i="2"/>
  <c r="K8" i="2"/>
  <c r="K9" i="2"/>
  <c r="K11" i="2"/>
  <c r="K12" i="2"/>
  <c r="K13" i="2"/>
  <c r="K16" i="2"/>
  <c r="K18" i="2"/>
  <c r="K19" i="2"/>
  <c r="K20" i="2"/>
  <c r="K22" i="2"/>
  <c r="K23" i="2"/>
  <c r="K5" i="2"/>
  <c r="H25" i="2"/>
  <c r="D25" i="2"/>
  <c r="K10" i="2"/>
  <c r="C23" i="2"/>
  <c r="C22" i="2"/>
  <c r="C20" i="2"/>
  <c r="C19" i="2"/>
  <c r="C18" i="2"/>
  <c r="C16" i="2"/>
  <c r="C13" i="2"/>
  <c r="C12" i="2"/>
  <c r="C11" i="2"/>
  <c r="C10" i="2"/>
  <c r="C9" i="2"/>
  <c r="C8" i="2"/>
  <c r="C7" i="2"/>
  <c r="C6" i="2"/>
  <c r="C5" i="2"/>
  <c r="J25" i="2"/>
  <c r="I25" i="2"/>
  <c r="G25" i="2"/>
  <c r="E25" i="2" l="1"/>
  <c r="F25" i="2" l="1"/>
  <c r="K25" i="2" s="1"/>
  <c r="G32" i="2" l="1"/>
</calcChain>
</file>

<file path=xl/sharedStrings.xml><?xml version="1.0" encoding="utf-8"?>
<sst xmlns="http://schemas.openxmlformats.org/spreadsheetml/2006/main" count="1261" uniqueCount="321">
  <si>
    <t>Osobní náklady (včetně odvodů)</t>
  </si>
  <si>
    <t>Materiál</t>
  </si>
  <si>
    <t>Cestovné</t>
  </si>
  <si>
    <t>Energie</t>
  </si>
  <si>
    <t>Opravy a udržování</t>
  </si>
  <si>
    <t>Ostatní služby</t>
  </si>
  <si>
    <t>Sekretariát, řízení a provoz fakulty</t>
  </si>
  <si>
    <t>Ceny děkana</t>
  </si>
  <si>
    <t>Fondy proděkanů a členové RVŠ</t>
  </si>
  <si>
    <t>Motivační odměny</t>
  </si>
  <si>
    <t>CELKEM</t>
  </si>
  <si>
    <t>Celkem</t>
  </si>
  <si>
    <t>Náklady celkem</t>
  </si>
  <si>
    <t>Odpisy</t>
  </si>
  <si>
    <t>Ekonomické oddělení</t>
  </si>
  <si>
    <t>Personální a mzdové oddělení</t>
  </si>
  <si>
    <t>Oddělení VaV</t>
  </si>
  <si>
    <t>Oddělení projektové podpory</t>
  </si>
  <si>
    <t>Oddělení vnějších a vnitřních vztahů</t>
  </si>
  <si>
    <t>Studijní oddělení</t>
  </si>
  <si>
    <t>Oddělení technické podpory</t>
  </si>
  <si>
    <t>Správa budov Envelopa - 3911 (vč. 3913, 3914 a 3940)</t>
  </si>
  <si>
    <t>Botanická zahrada</t>
  </si>
  <si>
    <t>Školicí středisko Karlov</t>
  </si>
  <si>
    <t>Správa zeleně</t>
  </si>
  <si>
    <t>Kabinet  pedagogické přípravy</t>
  </si>
  <si>
    <t>Kabinet cizích jazyků</t>
  </si>
  <si>
    <t xml:space="preserve">Střediska </t>
  </si>
  <si>
    <t>Podíl na příspěvku</t>
  </si>
  <si>
    <t xml:space="preserve">Režie </t>
  </si>
  <si>
    <t>Investice</t>
  </si>
  <si>
    <t>Energie Envelopa</t>
  </si>
  <si>
    <t>Energie Holice</t>
  </si>
  <si>
    <t xml:space="preserve">Správa budov Holice - 3912 </t>
  </si>
  <si>
    <t>Energie Pevnost</t>
  </si>
  <si>
    <t>Centrum popularizace</t>
  </si>
  <si>
    <t>Hospodaření děkanátu za rok 2016 po oděleních  /11 a /30</t>
  </si>
  <si>
    <t>Náklady 2016</t>
  </si>
  <si>
    <t>Příjmy 2016</t>
  </si>
  <si>
    <t>Příloha 2.5</t>
  </si>
  <si>
    <t>Rezerva děkana 2016</t>
  </si>
  <si>
    <t>Rezerva děkana</t>
  </si>
  <si>
    <t>Hospodaření děkanátu po odděleních 2016</t>
  </si>
  <si>
    <t>*</t>
  </si>
  <si>
    <t>Výměna provozních prostředků děkanátu za FRIM kateder dle jejich potřeb</t>
  </si>
  <si>
    <t>Rozdíl mezi příjmy a náklady byl převeden do FPP za účelem financování investičních akcí v dalších letech, vč. spolufinancování investičních projektů OP VVV. Částka 2 885 000,- dodatečně přidělená PřF z příspěvku MŠMT byla v souladu s usnesením AS PřF převedena do FPP na ponížení záporného zůstatku na středisku 3740 - CP - Dokončení projektu a první rok provozu.</t>
  </si>
  <si>
    <t>Příloha č. 3.5</t>
  </si>
  <si>
    <t xml:space="preserve">Plán hospodaření děkanátu na rok 2017 po odděleních </t>
  </si>
  <si>
    <t>Hospodaření děkanátu na rok 2017 po oděleních  /11 a /30</t>
  </si>
  <si>
    <t>Správa budov Envelopa - technický úsek</t>
  </si>
  <si>
    <t>Správa budov Envelopa - provozní úsek</t>
  </si>
  <si>
    <t>3911, 3913, 3940</t>
  </si>
  <si>
    <t>3916, 3914, 3941</t>
  </si>
  <si>
    <t xml:space="preserve">Správa budov Holice - technický úsek </t>
  </si>
  <si>
    <t>Správa budov Holice - provozní úsek</t>
  </si>
  <si>
    <t>Rezerva děkana 2017</t>
  </si>
  <si>
    <t>Náklady 2017</t>
  </si>
  <si>
    <t>Příjmy 2017</t>
  </si>
  <si>
    <t>Investice budou řešeny formou výměny provozních prostředků děkanátu za FRIM kateder, kapitalizací prostředků ze zdroje 11 u vhodných investičních akcí nebo převodem nevyčerpaných prostředků určených na investice do FPP a následně do FRIMu.</t>
  </si>
  <si>
    <t>Režie</t>
  </si>
  <si>
    <t>Podíl na příspěvku-1.část</t>
  </si>
  <si>
    <t>Podíl na příspěvku-2.část (odhad)</t>
  </si>
  <si>
    <t>Osobní náklady                   (včetně odvodů)</t>
  </si>
  <si>
    <t>Rezervy proděkanů a členové RVŠ</t>
  </si>
  <si>
    <t>Plán investic děkanátu je celkem 40,08 mil. Kč (vybavení a rozvoj), přičemž zdroje pro jeho krytí jsou ve výši 24,08 mil. z prostředků děkanátu (FRIM děkanátu 1,64 mil., FPP děkanátu 15,7 mil. a 6,74 mil. z rozpočtu 2017) a spoluúčast kateder ve výši cca 16 mil. Kč na doplnění chlazení.</t>
  </si>
  <si>
    <t>Spisová služba</t>
  </si>
  <si>
    <t>Skutečnost po přidělení RVO</t>
  </si>
  <si>
    <t>Čerpání děkanátu 2017 - pro senát 4.4.2018</t>
  </si>
  <si>
    <t>Plán</t>
  </si>
  <si>
    <t>Příjmy 2018</t>
  </si>
  <si>
    <t>Náklady 2018</t>
  </si>
  <si>
    <t>Rezerva děkana 2018</t>
  </si>
  <si>
    <t>Plán hospodaření děkanátu na rok 2018 po odděleních (zdroje 11 a 30)</t>
  </si>
  <si>
    <t>Středisko</t>
  </si>
  <si>
    <t>Osobní náklady (vč. odvodů)</t>
  </si>
  <si>
    <t>Celkem za děkanát</t>
  </si>
  <si>
    <t>Správa budov 17. listopadu - provozní úsek</t>
  </si>
  <si>
    <t>Envelopa a VLD - provozní úsek</t>
  </si>
  <si>
    <t>Envelopa a VLD - údržba</t>
  </si>
  <si>
    <t>SLO - údržba</t>
  </si>
  <si>
    <t>Pevnost poznání - údržba + energie</t>
  </si>
  <si>
    <t>SLO - provoz</t>
  </si>
  <si>
    <t>Pevnost poznání- provoz</t>
  </si>
  <si>
    <t>Správa budov 17. listopadu - technický úsek</t>
  </si>
  <si>
    <t>3911,3913,3940</t>
  </si>
  <si>
    <t>3914,3616,3941</t>
  </si>
  <si>
    <t>* Investice budou řešeny formou výměny provozních prostředků děkanátu za FRIM kateder, kapitalizací prostředků ze zdroje 11 u vhodných investičních akcí v celkové výši 5 mil., nebo převodem nevyčerpaných provozních prostředků určených na investice do FPP a následně do FRIMu.</t>
  </si>
  <si>
    <t>počet osob/počet úvazků</t>
  </si>
  <si>
    <t>3/1,01</t>
  </si>
  <si>
    <t>9/8,25</t>
  </si>
  <si>
    <t>5/4,7</t>
  </si>
  <si>
    <t>plán zdroj 11</t>
  </si>
  <si>
    <t>plán zdroj 30</t>
  </si>
  <si>
    <t>3/3</t>
  </si>
  <si>
    <t>7/5</t>
  </si>
  <si>
    <t>3/2,5</t>
  </si>
  <si>
    <t>3/2,1</t>
  </si>
  <si>
    <t>9/8,9</t>
  </si>
  <si>
    <t>4/2,4</t>
  </si>
  <si>
    <t>7/6,75</t>
  </si>
  <si>
    <t>0/0</t>
  </si>
  <si>
    <t>Plán celkem</t>
  </si>
  <si>
    <t>Plán 2017</t>
  </si>
  <si>
    <t>Srovnání Plán 2017</t>
  </si>
  <si>
    <t>4/4</t>
  </si>
  <si>
    <t>20/18,9</t>
  </si>
  <si>
    <t>2/2</t>
  </si>
  <si>
    <t>26/24,9</t>
  </si>
  <si>
    <t>15/13,9</t>
  </si>
  <si>
    <t>7/6,2</t>
  </si>
  <si>
    <t>1/0,5</t>
  </si>
  <si>
    <t>9/8,5</t>
  </si>
  <si>
    <t>4/3,7</t>
  </si>
  <si>
    <t>2/0,52</t>
  </si>
  <si>
    <t>9/6,2</t>
  </si>
  <si>
    <t>Plán investic děkanátu schválený senátem v lednu 2018 je celkem 40,018 mil. Kč (vybavení a rozvoj), přičemž zdroje pro jeho krytí jsou ve výši 52,046 mil. z prostředků děkanátu (FRIM děkanátu          -0,378 mil., FPP děkanátu 37,203 mil. a 15,221 mil. z prostředků rozpočtu 2018 včetně kapitalizovaného zdroje 11).</t>
  </si>
  <si>
    <t>Plán nákladů středisek děkanátu 2018  (zdroje 11+30)</t>
  </si>
  <si>
    <t>Středisko:                                 3900</t>
  </si>
  <si>
    <t>Skutečnost 2017</t>
  </si>
  <si>
    <t>Plán 2018</t>
  </si>
  <si>
    <t>Osobní náklady</t>
  </si>
  <si>
    <t>5 os/4,7 úv.</t>
  </si>
  <si>
    <t>Mzdy</t>
  </si>
  <si>
    <t>Odměny</t>
  </si>
  <si>
    <t>Zákonné odvody z mezd a odměn</t>
  </si>
  <si>
    <t>DPČ</t>
  </si>
  <si>
    <t>Zákonné odvody 36,42% z DPČ</t>
  </si>
  <si>
    <t>DPP</t>
  </si>
  <si>
    <t>Příspěvky na stravné (menza, stravenky)</t>
  </si>
  <si>
    <t>Profesní lékařské prohlídky</t>
  </si>
  <si>
    <t>Kapitola celkem</t>
  </si>
  <si>
    <t>Kancelářské potřeby</t>
  </si>
  <si>
    <t>Výpočetní technika</t>
  </si>
  <si>
    <t>DHM</t>
  </si>
  <si>
    <t>Jiný materiál</t>
  </si>
  <si>
    <t>Letenky, jízdenky, stravné (diety)</t>
  </si>
  <si>
    <t xml:space="preserve">Opravy a udržování </t>
  </si>
  <si>
    <t>budov,nábytku,výpoč.techniky …….</t>
  </si>
  <si>
    <t>Telefony</t>
  </si>
  <si>
    <t>Poštovné</t>
  </si>
  <si>
    <t>Ostraha</t>
  </si>
  <si>
    <t>Odvoz odpadu</t>
  </si>
  <si>
    <t>Školení</t>
  </si>
  <si>
    <t xml:space="preserve">Jiné služby </t>
  </si>
  <si>
    <t>navýšení v kapitole Materiál - nový počítač pro nového tajemníka (25 tis)</t>
  </si>
  <si>
    <t>navýšení v kapitole Ostatní služby - od roku 2017 nově placené závazky Muzeu olomoucké pevnosti (MOP) ve výši cca 157 tis (věcné břemeno, pronájem pozemků), platba aktualizace antivirového programu pro celou PřF - dle přeúčtování z RUP cca 140 tis</t>
  </si>
  <si>
    <t>Nárůst v osobních nákladech pro 2018 vznikl promítnutím změny tarifů od 04/2018 (rozdíl činí cca 160 tis), navýšení počtu úvazku o 0,7 na manažera staveb Holice, navýšením počtu proděkanů a zvýšením osobního příplatku pro děkana oproti předchozímu děkanovi (939 tis)</t>
  </si>
  <si>
    <t>Středisko:                             3923</t>
  </si>
  <si>
    <t>3 os/3 úvazky</t>
  </si>
  <si>
    <t>Zákonné odvody 34,42% z DPČ</t>
  </si>
  <si>
    <t>Poštovné a datové zprávy</t>
  </si>
  <si>
    <t>Ostatní - skartace</t>
  </si>
  <si>
    <t>Stěhování</t>
  </si>
  <si>
    <t>Vnitrovýnosy</t>
  </si>
  <si>
    <t>navýšení v kapitole Materiál - nový skener pro Magion (5 tis)</t>
  </si>
  <si>
    <t>navýšení v kapitole Ostatní služby - z důvodu zdražení poštovného (40 tis)</t>
  </si>
  <si>
    <t>Nárůst v osobních nákladech pro 2018 vznikl promítnutím změny tarifů od 04/2018 (rozdíl činí cca 130 tis)</t>
  </si>
  <si>
    <t>zdroj 30)</t>
  </si>
  <si>
    <t>Středisko:                         3904</t>
  </si>
  <si>
    <t>3 os/2,5 úvazku</t>
  </si>
  <si>
    <t>Služby - SW</t>
  </si>
  <si>
    <t>Vnitronáklady - stravování akce UP</t>
  </si>
  <si>
    <t>navýšení v kapitole Materiál - nové počítače, nový telefon (55  tis), navýšení v kapitolách Cestovné a Ostatní služby z důvodu navýšení počtu zaměstnanců (19 tis)</t>
  </si>
  <si>
    <t xml:space="preserve">Nárůst v osobních nákladech pro 2018 vznikl promítnutím změny tarifů od 04/2018 (rozdíl činí cca 90 tis), navýšení počtu úvazku o 1,5 na referentky VaV (709 tis) </t>
  </si>
  <si>
    <t>Plán nákladů středisek děkanátu 2018</t>
  </si>
  <si>
    <t>Středisko:                            PaM 3903</t>
  </si>
  <si>
    <t>Plán 2016</t>
  </si>
  <si>
    <t>Skutečnost 2016</t>
  </si>
  <si>
    <t>Podepsané od Dany Kopecké na r. 2017</t>
  </si>
  <si>
    <t>7 os/5 úv.</t>
  </si>
  <si>
    <t>Zákonné odvody 36,42% z mezd a odměn</t>
  </si>
  <si>
    <t>atd.</t>
  </si>
  <si>
    <t>navýšení v kapitole Materiál - nové počítače, navýšení v kap. Cestovné - zvýšení cest v rámci Rozvojového projektu společného s ostatními VŠ a GDPR</t>
  </si>
  <si>
    <t>Středisko:                              3907                          studijní odd.</t>
  </si>
  <si>
    <t>Skut. 2017</t>
  </si>
  <si>
    <t>9 os/8,9 úvazku</t>
  </si>
  <si>
    <t>Vnitronáklady a vnitrovýnosy</t>
  </si>
  <si>
    <t>Nárůst v osobních nákladech pro 2018 vznikl promítnutím změny tarifů od 04/2018 (rozdíl činí cca 300 tis),</t>
  </si>
  <si>
    <t>Středisko:      3908</t>
  </si>
  <si>
    <t>4os/2,4 úv.</t>
  </si>
  <si>
    <t>ostatní služby</t>
  </si>
  <si>
    <t xml:space="preserve">Celkově dochází ke snížení nákladů oproti plánu 2017 i přes navýšení tarifů vzhledem k faktu, že část osob bude placena z projektů a rovněž tak služby a materiál. </t>
  </si>
  <si>
    <t>Plán nákladů středisek děkanátu 2018  (zdroj 11)</t>
  </si>
  <si>
    <t>Středisko:                              3960</t>
  </si>
  <si>
    <t>2 os/0,52 úvazku</t>
  </si>
  <si>
    <t>Nárůst v osobních nákladech pro 2018 vznikl promítnutím změny tarifů od 04/2018 (40 tis), a zvýšením osobního příplatku pro vedoucího CP oproti předchozímu roku, kdy byl hrazen z jiných zdrojů ( 88 tis).</t>
  </si>
  <si>
    <t>Kapitola Cestovné je navýšena (dle skutečných potřeb), ale došlo k ponížení v jiných kapitolách a plán není navýšen (mimo osobní náklady).</t>
  </si>
  <si>
    <t>Středisko:                          3915</t>
  </si>
  <si>
    <t>2 os/2 úvazky</t>
  </si>
  <si>
    <t>**</t>
  </si>
  <si>
    <t>Poplatky Unii bot. Zahrad</t>
  </si>
  <si>
    <t>jiné služby - vyr. DPH a daň neuznatelné</t>
  </si>
  <si>
    <t>Navýšení kapitoly materiál - * tiskárna štítků a telefon, (12 tis), **substráty a agrochemikálie, benzín do sekačky, čistící prostředky, zahradnické náčiní, ochranné prac. pomůcky</t>
  </si>
  <si>
    <t>Navýšení osobních  nákladů. V nákladech je uvažováno navýšení mezd stávajících zaměstnanců o navýšení tarifů (92 tis).</t>
  </si>
  <si>
    <t>Středisko:                                 3901</t>
  </si>
  <si>
    <t>9 os/8,25 úvazku</t>
  </si>
  <si>
    <t>Nárůst v osobních nákladech pro 2018 vznikl promítnutím změny tarifů od 04/2018 (rozdíl činí 198 tis) a vytvořením rezervy ve výši 90 tispro plánovaný vznik nového úvazku od 10/2018, jehož potřeba vzniká z důvodu nárůstu ekonomických operací a změn spojených s novými pravidly účtování</t>
  </si>
  <si>
    <t xml:space="preserve">Plán 2017
</t>
  </si>
  <si>
    <t>Osobní náklady - 7 zaměstnanců vedených pouze na 3911</t>
  </si>
  <si>
    <t>7os/6,75 úv.</t>
  </si>
  <si>
    <t>neuplat nárok</t>
  </si>
  <si>
    <t>Elekřina</t>
  </si>
  <si>
    <t>Teplo</t>
  </si>
  <si>
    <t>Voda</t>
  </si>
  <si>
    <t>Služby</t>
  </si>
  <si>
    <t>Poznámky:</t>
  </si>
  <si>
    <t xml:space="preserve">1) Navýšení mzdových nákladů. V nákladech je uvažováno navýšení mezd stávajících zaměstnanců (290 tis) a zaměstnání nového zaměstnance na pozici odborného referenta SB od 04/2018 (368 tis) </t>
  </si>
  <si>
    <t xml:space="preserve">2) Navýšení nákladů vkapitole Opravy a udržování (345 tis) a kapitoly Ostatní služby (145 tis) - navýšení je způsobeno zajištěním opravy 2ks vstupních dveří do objektu 17. listopadu 50 - VLD a začlenění do současného univerzitního systému, dále zajištění systému genereálního klíče pro uživatele objektu 17. listopadu 50 - VLD </t>
  </si>
  <si>
    <t>Středisko: 3912 - Správa Holice</t>
  </si>
  <si>
    <t>Plán 2018 v1</t>
  </si>
  <si>
    <t>rozdíl</t>
  </si>
  <si>
    <t>Jiný materiál akumulátory UPS 450 tis.</t>
  </si>
  <si>
    <t>***</t>
  </si>
  <si>
    <t>jiné služby ( pro 2018 -upgrade SW MaR)</t>
  </si>
  <si>
    <t>odpisy</t>
  </si>
  <si>
    <t>Poznámka:</t>
  </si>
  <si>
    <t>1)Navýšení nákladů v kapitole Opravy a udržování (130 tis) - navýšení je způsobeno zajištěním opravy 1ks vstupních dveří do objektu 17. listopadu 50a - SLO a začlenění do současného univerzitního systému kontroly vstupu (čtecí zařízení).</t>
  </si>
  <si>
    <t>Plán nákladů středisek děkanátu 2018 (11+30)</t>
  </si>
  <si>
    <t>Středisko                  3914</t>
  </si>
  <si>
    <t>2017             plán</t>
  </si>
  <si>
    <t>2017                         čerpání</t>
  </si>
  <si>
    <t>2018                    plán</t>
  </si>
  <si>
    <t>Středisko                  3916</t>
  </si>
  <si>
    <t>2017                        čerpání</t>
  </si>
  <si>
    <t>2018                  plán</t>
  </si>
  <si>
    <t>20 os/18,9 úv.</t>
  </si>
  <si>
    <t>Nárůst v osobních nákladech pro 2018 vznikl promítnutím změny tarifů od 04/2018 (rozdíl činí cca 334 tis), a novými zaměstnanci na pozici údržbáře s 1,0 úvazkem  a pozici referenta s 0,4 úvazkem (608 tis) původní plán na r. 2017 obsahoval více střediseku Správy v areáku Envelopa, lze srovnáva pouze s čerpáním 2017. nyní pod střediskem sledován provoz 17.listopadu 12  a 17.listopadu 50a (VLD).</t>
  </si>
  <si>
    <t>navýšení v kapitole Materiál - výměna všech dávkovačů  a dalšího vybavení na všech toaletách (240 tis), navýšení v kapitole Služby - mytí všech oken a fasád na velké budově, postupná obnova hloubkové ochrany podlahových krytin  (350 tis)</t>
  </si>
  <si>
    <t>Středisko                  3918</t>
  </si>
  <si>
    <t>2017                     plán</t>
  </si>
  <si>
    <t>2017               čerpání</t>
  </si>
  <si>
    <t>2018              plán</t>
  </si>
  <si>
    <t>4os/3,7 úv.</t>
  </si>
  <si>
    <t xml:space="preserve">Nárůst v osobních nákladech pro 2018 vznikl promítnutím změny tarifů od 04/2018 (rozdíl činí cca 76 tis), a 2  novými zaměstnanci na pozici zahradníka/technického pracovníka s 1,7 úvazkem (474 tis). Oddělení bylo posíleno z důvodu časové náročnosti údržby všech pozemků a zeleně (náplň práce zahrnuje jak zahradnické práce - sečení, pletí, údržbu a obnovu rostlin, tak úklid venkovních ploch letní i zimní)   Osobní náklady zahrnují zaměstnance pracující pro oba areály - Envelopu i Holici.  </t>
  </si>
  <si>
    <t>Zvýšené odpisy reflektují nákup nového majetku pro údržbu venkovních ploch v minulém roce.</t>
  </si>
  <si>
    <t>Plán nákladů středisek děkanátu 2018 (zdroj 11)</t>
  </si>
  <si>
    <t>Středisko                  3941</t>
  </si>
  <si>
    <t>2017            plán</t>
  </si>
  <si>
    <t>2017                čerpání</t>
  </si>
  <si>
    <t>2018            plán</t>
  </si>
  <si>
    <t>2os/2 úv.</t>
  </si>
  <si>
    <t xml:space="preserve">Nárůst v osobních nákladech pro 2018 vznikl promítnutím změny tarifů od 04/2018 (rozdíl činí cca 74 tis) a plánované DPP na brigádnickou výpomoc v době akcí a prázdnin (45 tis)     původní plán na r. 2017 byl zahrnut do celkového součtu Správy v areálku Envelopa. Středisko bude  sledováno zvlášť z důvodu vykazování nákladů pro projekt Pevnost poznání. </t>
  </si>
  <si>
    <t>Středisko                  3919</t>
  </si>
  <si>
    <t>2017                  čerpání</t>
  </si>
  <si>
    <t>2018        čerpání</t>
  </si>
  <si>
    <t>15os/13,9 úv.</t>
  </si>
  <si>
    <t xml:space="preserve">Nárůst v osobních nákladech pro 2018 vznikl promítnutím změny tarifů od 04/2018 (364 tis), a novými zaměstnanci na pozici referenta s 0,4 úvazkem (235 tis), dále odměny za mytí oken (100 tis)   a DPP a DPČ na zástup vrátní a úklid při dovolených ( 167 tis)      </t>
  </si>
  <si>
    <t xml:space="preserve">Navýšení v kapitole Materiál - zvýšená spotřeba čistích prostředků a dalšího materiálu z důvodu plánovaných stavebních prací a větší náročnosti na úklid budov (50 tis) , </t>
  </si>
  <si>
    <t>navýšení v kapitole Služby - mytí  oken a fasád na nových budovách Center postupně, postupná obnova hloubkové ochrany podlahových krytin  (250 tis)</t>
  </si>
  <si>
    <t>Srovnání Plán ON 2017</t>
  </si>
  <si>
    <t>Rozdíl</t>
  </si>
  <si>
    <t>Tarify</t>
  </si>
  <si>
    <t>Nové úvazky</t>
  </si>
  <si>
    <t>Srovnání Plán Materiál 2017</t>
  </si>
  <si>
    <t>Srovnání Plán Cestovné 2017</t>
  </si>
  <si>
    <t>Srovnání Plán Opravy a udržování 2017</t>
  </si>
  <si>
    <t>Srovnání Plán Ostatní služby 2017</t>
  </si>
  <si>
    <t>Osobní náklady jsou zahrnuty do střediska 3911 vzhledem k tomu, že nejsou dělany úvazky zaměstnanců mezi 3911 a 3913</t>
  </si>
  <si>
    <t>Osobní náklady jsou zahrnuty do střediska 3911 vzhledem k tomu, že nejsou dělany úvazky zaměstnanců mezi 3911 a 3940. U ostatních kapitol plánu dochází pouze k přesunu mezi jednotlivými kapitolami, nedochází k celkovému navýšení plánu.</t>
  </si>
  <si>
    <t>Nárůst v osobních nákladech pro 2018 vznikl promítnutím změny tarifů od 04/2018 (rozdíl činí cca246 tis), a novými zaměstnanci na pozici údržbáře s 1,0 úvazkem  a pozici referenta s 0,5 úvazkem (576 tis), a to z důvodu nárůstu související činnosti ve vazbě na vyklízení objektů a následnou rekonstrukci, rovněž tak ve vazbě na zvýšení nároků na údržbu objektů, kde skončila záruční doba.</t>
  </si>
  <si>
    <t>Navýšení v kapitole Materiál (334) a Opravy a udržování (50 tis) - Mimořádné náklady na  výměnu akumulátorů nepřerušovaných zdrojů napájení (UPS) pro energocentrum areálu  a energocentrum budovy G. v závislosti na stáří akumulátorů a provozních podmínkách. Nutná výměna těchto akumulátorů pro zabezpečení provozu areálu a ochrany vědeckých přístrojů při výpadcích elektrické energie. Nárůst nákladů na opravy a udržování nových budov po ukončení záruk a opravy zařízení.</t>
  </si>
  <si>
    <t>Navýšení v kapitole Služby (100 tis) a Opravy a udržování (50 tis) - mimořádné náklady spojené s probíhajícími a plánovanými stavbami v areálu Holice, nutné pro zabezpečení provozu areálu a celé technické infrastruktury, zejména stěhování vybavení budov, zajištění vrátnice, přemístění telefonní ústředny, přepojení telefonních linek apod.Nárůst nákladů na opravy a udržování nových budov po ukončení záruk a opravy zařízení.</t>
  </si>
  <si>
    <t>Středisko                  3917</t>
  </si>
  <si>
    <t xml:space="preserve">2017                 plán  (11) </t>
  </si>
  <si>
    <t>2017                             čerpání (11)</t>
  </si>
  <si>
    <t>2018                             plán (11)</t>
  </si>
  <si>
    <t>1os/0,5 úv.</t>
  </si>
  <si>
    <t>DHM do 40 tis.</t>
  </si>
  <si>
    <t>telefony, wifi</t>
  </si>
  <si>
    <t>Vnitrovýnosy (z pracovišť UP)</t>
  </si>
  <si>
    <t>Nárůst v osobních nákladech pro 2018 vznikl rozdělením mzdových nákladů správcové objektu mezi zdroje 19 a 11 oproti jejich úhradě ze zdroje 19 v předešlém roce, nejedná se o nárůst úvazku . Rovněž u DPP se jedná o rozdělení osobních nákladů mezi zdroj  19 a 11 (zástup za dovolené správcové, mimořádné práce při úržbě - havárie).</t>
  </si>
  <si>
    <t xml:space="preserve">Navýšení v kapitole Materiál (50 tis)- postupná obnova vybavení drobným nábytkem (kuchyně - stůl, lednice, společenská místnost- televize, venkovní posezení - lavičky, hrací prvky pro děti) </t>
  </si>
  <si>
    <t>navýšení kapitoly Energie reflektuje skutečnou spotřebu 2017</t>
  </si>
  <si>
    <t>Navýšení kapitoly Služby (15 tis) - část nákladů původně hrazených te zdroje 19, které souvisí s provozem budovy , nikoli s poskytováním ubytovacích služeb</t>
  </si>
  <si>
    <t>K celkovému navýšení plánu v 2018 dochází zejména z důvodu přesunu části nákladů, které byly v r. 2017 hrazeny ze zdroje 19, do zdroje 11, a to z důvodu, že charakter zařízení je školící středisko, které poskytuje ubytovací služby pouze doplňkově zejména  zaměstnancům a jejich rodinným příslušníkům. Výnosy ze zdroje 19 slouží jen pro částečnou úhradu celkových nákladů, středisko tedy musí být dofinacováno ze zdroje 11. V r. 2017 náklady ve zdroji 19 převyšovaly výnosy dvojnásobně. V r. 2018 je tedy navržen model, kdy ze zdroje 11 jsou financovány náklady související primárně z udržováním a provozem samotné budovy (opravy, energie, vybavení, wifi signál apod). Náklady související s poskytováním ubytovacích služeb za úplatu jsou plánovány hradit ze zdroje 19 (úklid, praní prádla, čistící prostředky, odvoz odpadu apod). Náklady ve zdroji 19 jsou plánovány ve výši 380 tis s předpokladem výnosů min. 350 tis.</t>
  </si>
  <si>
    <t xml:space="preserve">Nárůst v osobních nákladech pro 2018 vznikl promítnutím změny tarifů od 04/2018 (rozdíl činí cca 223 tis), původní plán na r. 2017 byl zahrnut do celkového součtu Správy v areálku Envelopa. Středisko pro provoz budovy SLO bude  sledováno zvlášť z důvodu vykazování nákladů pro společné pracoviště SLO s AV ČR. </t>
  </si>
  <si>
    <t xml:space="preserve">navýšení v kapitole Materiál (10 tis)  a Služby (210 tis) -  pořízení vysavačů, mytí všech oken a výměna podlahové krytiny v přízemí. </t>
  </si>
  <si>
    <t xml:space="preserve">navýšení v kapitole Služby -   hloubková ochrana dřevěných podlah (130 tis), platby MOP za pronájem  stání na kontejnery (20 tis). </t>
  </si>
  <si>
    <t>Navýšení kapitoly Opravy a udržování (53 tis) - oprava mycího stroje, opravy 3 služebních automobilů (vzhledem ke stáří a opotřebení)</t>
  </si>
  <si>
    <t xml:space="preserve"> Zvýšení v položce Materiál - zvýšená potřeba rostlinného materiálu pro obnovu ploch zeleně z důvodu ukončení záruční doby na parku a rovněž z důvodu obnovy ploch dotčených stavebními pracemi.</t>
  </si>
  <si>
    <t>Středisko:                              3210</t>
  </si>
  <si>
    <t>7 os/6,2 úvazku</t>
  </si>
  <si>
    <t>* materiál objednán v minulém roce, dodávka až březen 2018</t>
  </si>
  <si>
    <t>Nárůst v osobních nákladech pro 2018 vznikl promítnutím změny tarifů od 04/2018 (rozdíl činí cca 197 tis),</t>
  </si>
  <si>
    <t xml:space="preserve">Navýšení v kapitole Cestovné (20 tis) je plánován na výjezd dvou lektorů na zahraniční jazykový kurz. </t>
  </si>
  <si>
    <t>Středisko:                                 3905</t>
  </si>
  <si>
    <t>3os/1,01 úv.</t>
  </si>
  <si>
    <t>Nárůst v osobních nákladech pro 2018 vznikl promítnutím změny tarifů od 04/2018 (rozdíl činí cca 96 tis). Kapitola Osobní náklady je nízká z důvodu zapojení všech pracovníků oddělení do projektů částmi úvazků.</t>
  </si>
  <si>
    <t>V ostatních kapitolách nedochází ke zvýšení plánu. Potřeby oddělení jsou částečně kryty z nepřímých nákladů projektů.</t>
  </si>
  <si>
    <t>Středisko: VVV 3906</t>
  </si>
  <si>
    <t>Skutečnost</t>
  </si>
  <si>
    <t>3 os/2,1 úv.</t>
  </si>
  <si>
    <t>Jiné služby</t>
  </si>
  <si>
    <t>Nárůst v osobních nákladech pro 2018,  vzniklý  změnou tarifů od 04/2018 (rozdíl činí cca 153 tis) a navýšením o 1 úvazek, se nepromítnul do celkového navýšení plánu v kapitole Osobní náklady vzhledem k faktu, že v r. 2017 byl plánován již nový pracovník a nebyl pouze přijat do zaměstnaneckého poměru.</t>
  </si>
  <si>
    <t>Ostatní kapitoly plánu nebyly navýšeny.</t>
  </si>
  <si>
    <t>Plán nákladů středisek děkanátu 2018: 3740/11 CENTRUM POPULARIZACE</t>
  </si>
  <si>
    <t>Středisko:</t>
  </si>
  <si>
    <t>9os/6,2 úv.</t>
  </si>
  <si>
    <t>VÝNOS</t>
  </si>
  <si>
    <t>ROZDÍL</t>
  </si>
  <si>
    <t>Nárůst v osobních nákladech pro 2018 vznikl promítnutím změny tarifů od 04/2018 a DPČ (rozdíl činí cca 522 tis),</t>
  </si>
  <si>
    <t xml:space="preserve">Navýšení kapitoly Opravy a udržování (15 tis) - reflektuje skutečnost ve 2017 </t>
  </si>
  <si>
    <t>Navýšení kapitoly Materiál  (83 tis) -   3D tiskárna na propagační předměty, tonery, dva počítače</t>
  </si>
  <si>
    <t>Nárůst v osobních nákladech pro 2018 vznikl promítnutím změny tarifů od 04/2018 (rozdíl činí cca 185 tis), navýšení počtu úvazku o 1 na nového personalistu od poloviny roku (202 tis) společně s překryvem zástupu za MD</t>
  </si>
  <si>
    <t>+0,25 (podrobněji viz listy oddělení)</t>
  </si>
  <si>
    <t>+1 (podrobněji viz listy oddělení)</t>
  </si>
  <si>
    <t>+1,5 (podrobněji viz listy oddělení)</t>
  </si>
  <si>
    <t>-0,9 (podrobněji viz listy oddělení)</t>
  </si>
  <si>
    <t>+0,75 (podrobněji viz listy oddělení)</t>
  </si>
  <si>
    <t>+0,4 (podrobněji viz listy oddělení)</t>
  </si>
  <si>
    <t>+1,7 (podrobněji viz listy oddělení)</t>
  </si>
  <si>
    <t>+0,5 (podrobněji viz listy oddělení)</t>
  </si>
  <si>
    <t>navýšení příplatků (podrobněji viz listy oddělení)</t>
  </si>
  <si>
    <t>+ 0,7 a navýšení příplatků (podrobněji listy odd.)</t>
  </si>
  <si>
    <t>celkem +8,4 úvazků a navýšení příplatků</t>
  </si>
  <si>
    <t xml:space="preserve">nárůst úvazků </t>
  </si>
  <si>
    <t>Opravy a udržování - jedná se převážně o navýšení v části Správy budov Envelopa o opravy a dveří na VLD a SLO a sozvisející doplnění generálního klíče</t>
  </si>
  <si>
    <t>Komentář k navýšení: Celkem se v všech kapitolách mimo osobní výdaje navýšil plán 2018 oproti plánu 2017 o 1 896 215 Kč. Podrobněji jsou potřeby  popsány v jednotlivých listech oddělení, níže je uvedeno celkové zdůvodnění jen u podstatných kapitol.</t>
  </si>
  <si>
    <t>Materiál - většinou se jedná o pořízená výpočetní techniky  dle potřeb jednotlivých oddělení, u oddělení správy se jedná většinou o navýšení ve vztahu ke zvýšené stavební aktivitě v Holici a  z důvodu ukončení  záruk na nových budovách v Holici, dále o obnovení hygienického vybavení na toaletách v hlavní budově, v Holici ve výmeně UPS</t>
  </si>
  <si>
    <t>Ostatní služby - většinou se jedná o navýšení na Správě budov jak u techického úseku, tak u provozního v Holici ve vazbě na ukončení záruk na nových objektech a stavební aktivitu v Holici, na provozu Správy budov Envelopa o služby spojené s mytím oken a fasád na hlavní budově i SLO a o obnovu podlahových krytin, u děkanátu o závazky vůči Muzeu olomoucké pevnosti a aktualizaci antivirového programu pro celou fakultu, o navýšení poštovného apod.</t>
  </si>
  <si>
    <t>Rezerva pro rozvojové akce fakulty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</si>
</sst>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" fillId="0" borderId="0"/>
  </cellStyleXfs>
  <cellXfs count="587">
    <xf numFmtId="0" fontId="0" fillId="0" borderId="0" xfId="0"/>
    <xf numFmtId="0" fontId="0" fillId="0" borderId="0" xfId="0" applyAlignment="1"/>
    <xf numFmtId="164" fontId="0" fillId="0" borderId="0" xfId="0" applyNumberFormat="1" applyFill="1"/>
    <xf numFmtId="164" fontId="0" fillId="0" borderId="0" xfId="0" applyNumberFormat="1"/>
    <xf numFmtId="0" fontId="0" fillId="0" borderId="0" xfId="0" applyFill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Fill="1"/>
    <xf numFmtId="0" fontId="2" fillId="3" borderId="6" xfId="0" applyFont="1" applyFill="1" applyBorder="1"/>
    <xf numFmtId="0" fontId="0" fillId="3" borderId="7" xfId="0" applyFill="1" applyBorder="1"/>
    <xf numFmtId="3" fontId="0" fillId="3" borderId="8" xfId="0" applyNumberFormat="1" applyFill="1" applyBorder="1"/>
    <xf numFmtId="3" fontId="0" fillId="0" borderId="0" xfId="0" applyNumberForma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0" fillId="0" borderId="1" xfId="0" applyBorder="1"/>
    <xf numFmtId="0" fontId="4" fillId="0" borderId="0" xfId="0" applyFont="1" applyFill="1" applyBorder="1"/>
    <xf numFmtId="0" fontId="0" fillId="0" borderId="3" xfId="0" applyBorder="1"/>
    <xf numFmtId="0" fontId="2" fillId="2" borderId="3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7" xfId="0" applyFont="1" applyBorder="1"/>
    <xf numFmtId="0" fontId="2" fillId="2" borderId="6" xfId="0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3" fontId="2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3" fontId="6" fillId="0" borderId="0" xfId="0" applyNumberFormat="1" applyFont="1" applyFill="1" applyBorder="1"/>
    <xf numFmtId="0" fontId="2" fillId="0" borderId="0" xfId="0" applyFont="1" applyFill="1"/>
    <xf numFmtId="9" fontId="2" fillId="0" borderId="0" xfId="1" applyFont="1" applyFill="1"/>
    <xf numFmtId="0" fontId="2" fillId="2" borderId="1" xfId="0" applyFont="1" applyFill="1" applyBorder="1"/>
    <xf numFmtId="0" fontId="0" fillId="0" borderId="2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2" fillId="0" borderId="8" xfId="0" applyNumberFormat="1" applyFont="1" applyFill="1" applyBorder="1"/>
    <xf numFmtId="3" fontId="0" fillId="0" borderId="10" xfId="0" applyNumberFormat="1" applyFill="1" applyBorder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12" xfId="0" applyNumberFormat="1" applyFill="1" applyBorder="1"/>
    <xf numFmtId="0" fontId="0" fillId="2" borderId="11" xfId="0" applyFill="1" applyBorder="1"/>
    <xf numFmtId="3" fontId="2" fillId="2" borderId="10" xfId="0" applyNumberFormat="1" applyFont="1" applyFill="1" applyBorder="1"/>
    <xf numFmtId="3" fontId="2" fillId="2" borderId="7" xfId="0" applyNumberFormat="1" applyFont="1" applyFill="1" applyBorder="1"/>
    <xf numFmtId="3" fontId="2" fillId="2" borderId="11" xfId="0" applyNumberFormat="1" applyFont="1" applyFill="1" applyBorder="1"/>
    <xf numFmtId="0" fontId="3" fillId="0" borderId="0" xfId="0" applyFont="1" applyAlignment="1">
      <alignment horizontal="center" vertical="center" wrapText="1"/>
    </xf>
    <xf numFmtId="164" fontId="2" fillId="2" borderId="3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9" fontId="0" fillId="0" borderId="0" xfId="1" applyFont="1" applyFill="1"/>
    <xf numFmtId="3" fontId="0" fillId="0" borderId="0" xfId="0" applyNumberFormat="1"/>
    <xf numFmtId="3" fontId="7" fillId="2" borderId="10" xfId="0" applyNumberFormat="1" applyFont="1" applyFill="1" applyBorder="1"/>
    <xf numFmtId="3" fontId="6" fillId="0" borderId="2" xfId="0" applyNumberFormat="1" applyFont="1" applyFill="1" applyBorder="1"/>
    <xf numFmtId="0" fontId="8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vertical="top"/>
    </xf>
    <xf numFmtId="3" fontId="7" fillId="2" borderId="11" xfId="0" applyNumberFormat="1" applyFont="1" applyFill="1" applyBorder="1"/>
    <xf numFmtId="0" fontId="0" fillId="0" borderId="0" xfId="0" applyFont="1" applyAlignment="1">
      <alignment horizontal="right" vertical="center"/>
    </xf>
    <xf numFmtId="3" fontId="2" fillId="0" borderId="0" xfId="0" applyNumberFormat="1" applyFont="1" applyBorder="1"/>
    <xf numFmtId="0" fontId="0" fillId="0" borderId="0" xfId="0" applyFill="1" applyBorder="1" applyAlignment="1">
      <alignment horizontal="right"/>
    </xf>
    <xf numFmtId="3" fontId="2" fillId="0" borderId="0" xfId="0" applyNumberFormat="1" applyFont="1"/>
    <xf numFmtId="0" fontId="8" fillId="2" borderId="0" xfId="0" applyFont="1" applyFill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0" fontId="8" fillId="0" borderId="0" xfId="0" applyFont="1" applyFill="1"/>
    <xf numFmtId="3" fontId="2" fillId="0" borderId="7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/>
    <xf numFmtId="0" fontId="0" fillId="0" borderId="0" xfId="0" applyFont="1" applyFill="1"/>
    <xf numFmtId="3" fontId="6" fillId="0" borderId="9" xfId="0" applyNumberFormat="1" applyFont="1" applyFill="1" applyBorder="1"/>
    <xf numFmtId="3" fontId="6" fillId="0" borderId="13" xfId="0" applyNumberFormat="1" applyFont="1" applyFill="1" applyBorder="1"/>
    <xf numFmtId="0" fontId="0" fillId="0" borderId="0" xfId="0" applyFont="1" applyFill="1" applyBorder="1"/>
    <xf numFmtId="3" fontId="6" fillId="0" borderId="15" xfId="0" applyNumberFormat="1" applyFont="1" applyFill="1" applyBorder="1"/>
    <xf numFmtId="3" fontId="6" fillId="0" borderId="17" xfId="0" applyNumberFormat="1" applyFont="1" applyFill="1" applyBorder="1"/>
    <xf numFmtId="0" fontId="0" fillId="0" borderId="9" xfId="0" applyFont="1" applyFill="1" applyBorder="1"/>
    <xf numFmtId="0" fontId="0" fillId="0" borderId="13" xfId="0" applyFont="1" applyFill="1" applyBorder="1"/>
    <xf numFmtId="0" fontId="0" fillId="0" borderId="17" xfId="0" applyFont="1" applyFill="1" applyBorder="1" applyAlignment="1"/>
    <xf numFmtId="0" fontId="0" fillId="0" borderId="15" xfId="0" applyFont="1" applyFill="1" applyBorder="1"/>
    <xf numFmtId="0" fontId="9" fillId="0" borderId="0" xfId="0" applyFont="1"/>
    <xf numFmtId="3" fontId="6" fillId="0" borderId="16" xfId="0" applyNumberFormat="1" applyFont="1" applyFill="1" applyBorder="1"/>
    <xf numFmtId="0" fontId="0" fillId="0" borderId="9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/>
    <xf numFmtId="0" fontId="10" fillId="0" borderId="13" xfId="0" applyFont="1" applyFill="1" applyBorder="1" applyAlignment="1">
      <alignment horizontal="right"/>
    </xf>
    <xf numFmtId="3" fontId="11" fillId="0" borderId="13" xfId="0" applyNumberFormat="1" applyFont="1" applyFill="1" applyBorder="1"/>
    <xf numFmtId="3" fontId="11" fillId="0" borderId="11" xfId="0" applyNumberFormat="1" applyFont="1" applyFill="1" applyBorder="1"/>
    <xf numFmtId="0" fontId="10" fillId="0" borderId="15" xfId="0" applyFont="1" applyFill="1" applyBorder="1" applyAlignment="1"/>
    <xf numFmtId="0" fontId="10" fillId="0" borderId="15" xfId="0" applyFont="1" applyFill="1" applyBorder="1"/>
    <xf numFmtId="3" fontId="11" fillId="0" borderId="15" xfId="0" applyNumberFormat="1" applyFont="1" applyFill="1" applyBorder="1"/>
    <xf numFmtId="3" fontId="11" fillId="0" borderId="12" xfId="0" applyNumberFormat="1" applyFont="1" applyFill="1" applyBorder="1"/>
    <xf numFmtId="0" fontId="10" fillId="0" borderId="15" xfId="0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8" xfId="0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0" xfId="0" applyFill="1" applyBorder="1"/>
    <xf numFmtId="0" fontId="2" fillId="2" borderId="4" xfId="0" applyFont="1" applyFill="1" applyBorder="1"/>
    <xf numFmtId="0" fontId="0" fillId="2" borderId="5" xfId="0" applyFill="1" applyBorder="1"/>
    <xf numFmtId="3" fontId="7" fillId="2" borderId="12" xfId="0" applyNumberFormat="1" applyFont="1" applyFill="1" applyBorder="1"/>
    <xf numFmtId="3" fontId="2" fillId="2" borderId="12" xfId="0" applyNumberFormat="1" applyFont="1" applyFill="1" applyBorder="1"/>
    <xf numFmtId="3" fontId="2" fillId="3" borderId="0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/>
    <xf numFmtId="3" fontId="0" fillId="0" borderId="0" xfId="0" applyNumberFormat="1" applyFill="1"/>
    <xf numFmtId="49" fontId="0" fillId="0" borderId="13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0" fontId="7" fillId="4" borderId="7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3" fontId="7" fillId="0" borderId="16" xfId="0" applyNumberFormat="1" applyFont="1" applyFill="1" applyBorder="1"/>
    <xf numFmtId="3" fontId="7" fillId="0" borderId="7" xfId="0" applyNumberFormat="1" applyFont="1" applyFill="1" applyBorder="1"/>
    <xf numFmtId="3" fontId="2" fillId="0" borderId="0" xfId="0" applyNumberFormat="1" applyFont="1" applyFill="1"/>
    <xf numFmtId="3" fontId="10" fillId="0" borderId="0" xfId="0" applyNumberFormat="1" applyFont="1" applyFill="1"/>
    <xf numFmtId="49" fontId="0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/>
    <xf numFmtId="0" fontId="13" fillId="0" borderId="0" xfId="0" applyFont="1"/>
    <xf numFmtId="0" fontId="14" fillId="0" borderId="0" xfId="0" applyFont="1"/>
    <xf numFmtId="0" fontId="14" fillId="2" borderId="6" xfId="0" applyFont="1" applyFill="1" applyBorder="1"/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18" xfId="0" applyFill="1" applyBorder="1"/>
    <xf numFmtId="0" fontId="0" fillId="5" borderId="19" xfId="0" applyFill="1" applyBorder="1"/>
    <xf numFmtId="3" fontId="0" fillId="5" borderId="19" xfId="0" applyNumberFormat="1" applyFill="1" applyBorder="1"/>
    <xf numFmtId="3" fontId="0" fillId="5" borderId="20" xfId="0" applyNumberFormat="1" applyFill="1" applyBorder="1"/>
    <xf numFmtId="0" fontId="0" fillId="5" borderId="21" xfId="0" applyFill="1" applyBorder="1"/>
    <xf numFmtId="0" fontId="0" fillId="5" borderId="22" xfId="0" applyFill="1" applyBorder="1"/>
    <xf numFmtId="3" fontId="0" fillId="5" borderId="22" xfId="0" applyNumberFormat="1" applyFill="1" applyBorder="1"/>
    <xf numFmtId="3" fontId="0" fillId="5" borderId="23" xfId="0" applyNumberFormat="1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3" fontId="0" fillId="5" borderId="25" xfId="0" applyNumberFormat="1" applyFill="1" applyBorder="1"/>
    <xf numFmtId="0" fontId="0" fillId="5" borderId="26" xfId="0" applyFill="1" applyBorder="1"/>
    <xf numFmtId="4" fontId="0" fillId="0" borderId="0" xfId="0" applyNumberFormat="1"/>
    <xf numFmtId="0" fontId="2" fillId="5" borderId="6" xfId="0" applyFont="1" applyFill="1" applyBorder="1"/>
    <xf numFmtId="3" fontId="2" fillId="5" borderId="7" xfId="0" applyNumberFormat="1" applyFont="1" applyFill="1" applyBorder="1"/>
    <xf numFmtId="0" fontId="2" fillId="0" borderId="3" xfId="0" applyFont="1" applyBorder="1"/>
    <xf numFmtId="0" fontId="2" fillId="0" borderId="13" xfId="0" applyFont="1" applyBorder="1"/>
    <xf numFmtId="0" fontId="0" fillId="0" borderId="11" xfId="0" applyBorder="1"/>
    <xf numFmtId="0" fontId="2" fillId="6" borderId="6" xfId="0" applyFont="1" applyFill="1" applyBorder="1" applyAlignment="1">
      <alignment horizontal="left"/>
    </xf>
    <xf numFmtId="3" fontId="2" fillId="6" borderId="8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6" borderId="18" xfId="0" applyFill="1" applyBorder="1"/>
    <xf numFmtId="3" fontId="0" fillId="6" borderId="19" xfId="0" applyNumberFormat="1" applyFill="1" applyBorder="1"/>
    <xf numFmtId="3" fontId="0" fillId="6" borderId="20" xfId="0" applyNumberFormat="1" applyFill="1" applyBorder="1"/>
    <xf numFmtId="0" fontId="0" fillId="6" borderId="21" xfId="0" applyFill="1" applyBorder="1"/>
    <xf numFmtId="3" fontId="0" fillId="6" borderId="22" xfId="0" applyNumberFormat="1" applyFill="1" applyBorder="1"/>
    <xf numFmtId="3" fontId="0" fillId="6" borderId="23" xfId="0" applyNumberFormat="1" applyFill="1" applyBorder="1"/>
    <xf numFmtId="0" fontId="0" fillId="6" borderId="24" xfId="0" applyFill="1" applyBorder="1"/>
    <xf numFmtId="3" fontId="0" fillId="6" borderId="25" xfId="0" applyNumberFormat="1" applyFill="1" applyBorder="1"/>
    <xf numFmtId="0" fontId="0" fillId="6" borderId="26" xfId="0" applyFill="1" applyBorder="1"/>
    <xf numFmtId="0" fontId="2" fillId="6" borderId="6" xfId="0" applyFont="1" applyFill="1" applyBorder="1"/>
    <xf numFmtId="3" fontId="2" fillId="6" borderId="8" xfId="0" applyNumberFormat="1" applyFont="1" applyFill="1" applyBorder="1"/>
    <xf numFmtId="3" fontId="2" fillId="0" borderId="13" xfId="0" applyNumberFormat="1" applyFont="1" applyBorder="1"/>
    <xf numFmtId="0" fontId="2" fillId="7" borderId="6" xfId="0" applyFont="1" applyFill="1" applyBorder="1" applyAlignment="1">
      <alignment horizontal="left"/>
    </xf>
    <xf numFmtId="3" fontId="2" fillId="7" borderId="8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0" fillId="7" borderId="3" xfId="0" applyFill="1" applyBorder="1"/>
    <xf numFmtId="3" fontId="0" fillId="7" borderId="13" xfId="0" applyNumberFormat="1" applyFill="1" applyBorder="1"/>
    <xf numFmtId="3" fontId="0" fillId="7" borderId="11" xfId="0" applyNumberFormat="1" applyFill="1" applyBorder="1"/>
    <xf numFmtId="0" fontId="2" fillId="7" borderId="6" xfId="0" applyFont="1" applyFill="1" applyBorder="1"/>
    <xf numFmtId="3" fontId="2" fillId="7" borderId="8" xfId="0" applyNumberFormat="1" applyFont="1" applyFill="1" applyBorder="1"/>
    <xf numFmtId="0" fontId="2" fillId="8" borderId="6" xfId="0" applyFont="1" applyFill="1" applyBorder="1" applyAlignment="1">
      <alignment horizontal="left"/>
    </xf>
    <xf numFmtId="3" fontId="2" fillId="8" borderId="8" xfId="0" applyNumberFormat="1" applyFont="1" applyFill="1" applyBorder="1" applyAlignment="1">
      <alignment horizontal="left"/>
    </xf>
    <xf numFmtId="0" fontId="2" fillId="8" borderId="7" xfId="0" applyFont="1" applyFill="1" applyBorder="1" applyAlignment="1">
      <alignment horizontal="left"/>
    </xf>
    <xf numFmtId="0" fontId="0" fillId="8" borderId="3" xfId="0" applyFill="1" applyBorder="1"/>
    <xf numFmtId="3" fontId="0" fillId="8" borderId="13" xfId="0" applyNumberFormat="1" applyFill="1" applyBorder="1"/>
    <xf numFmtId="3" fontId="0" fillId="8" borderId="11" xfId="0" applyNumberFormat="1" applyFill="1" applyBorder="1"/>
    <xf numFmtId="0" fontId="2" fillId="8" borderId="6" xfId="0" applyFont="1" applyFill="1" applyBorder="1"/>
    <xf numFmtId="3" fontId="2" fillId="8" borderId="8" xfId="0" applyNumberFormat="1" applyFont="1" applyFill="1" applyBorder="1"/>
    <xf numFmtId="0" fontId="2" fillId="9" borderId="6" xfId="0" applyFont="1" applyFill="1" applyBorder="1" applyAlignment="1">
      <alignment horizontal="left"/>
    </xf>
    <xf numFmtId="3" fontId="2" fillId="9" borderId="8" xfId="0" applyNumberFormat="1" applyFont="1" applyFill="1" applyBorder="1" applyAlignment="1">
      <alignment horizontal="left"/>
    </xf>
    <xf numFmtId="3" fontId="2" fillId="9" borderId="8" xfId="0" applyNumberFormat="1" applyFont="1" applyFill="1" applyBorder="1" applyAlignment="1">
      <alignment horizontal="right"/>
    </xf>
    <xf numFmtId="0" fontId="0" fillId="9" borderId="8" xfId="0" applyFill="1" applyBorder="1"/>
    <xf numFmtId="0" fontId="2" fillId="9" borderId="27" xfId="0" applyFont="1" applyFill="1" applyBorder="1"/>
    <xf numFmtId="3" fontId="2" fillId="9" borderId="15" xfId="0" applyNumberFormat="1" applyFont="1" applyFill="1" applyBorder="1"/>
    <xf numFmtId="0" fontId="0" fillId="9" borderId="12" xfId="0" applyFill="1" applyBorder="1"/>
    <xf numFmtId="0" fontId="0" fillId="0" borderId="11" xfId="0" applyFill="1" applyBorder="1"/>
    <xf numFmtId="0" fontId="2" fillId="10" borderId="6" xfId="0" applyFont="1" applyFill="1" applyBorder="1" applyAlignment="1">
      <alignment horizontal="left"/>
    </xf>
    <xf numFmtId="3" fontId="2" fillId="10" borderId="8" xfId="0" applyNumberFormat="1" applyFont="1" applyFill="1" applyBorder="1" applyAlignment="1">
      <alignment horizontal="left"/>
    </xf>
    <xf numFmtId="0" fontId="2" fillId="10" borderId="7" xfId="0" applyFont="1" applyFill="1" applyBorder="1" applyAlignment="1">
      <alignment horizontal="left"/>
    </xf>
    <xf numFmtId="0" fontId="0" fillId="10" borderId="18" xfId="0" applyFill="1" applyBorder="1"/>
    <xf numFmtId="3" fontId="0" fillId="10" borderId="19" xfId="0" applyNumberFormat="1" applyFill="1" applyBorder="1"/>
    <xf numFmtId="3" fontId="0" fillId="10" borderId="20" xfId="0" applyNumberFormat="1" applyFill="1" applyBorder="1"/>
    <xf numFmtId="0" fontId="0" fillId="10" borderId="21" xfId="0" applyFill="1" applyBorder="1"/>
    <xf numFmtId="3" fontId="0" fillId="10" borderId="22" xfId="0" applyNumberFormat="1" applyFill="1" applyBorder="1"/>
    <xf numFmtId="3" fontId="0" fillId="10" borderId="23" xfId="0" applyNumberFormat="1" applyFill="1" applyBorder="1"/>
    <xf numFmtId="0" fontId="0" fillId="10" borderId="23" xfId="0" applyFill="1" applyBorder="1"/>
    <xf numFmtId="0" fontId="2" fillId="10" borderId="27" xfId="0" applyFont="1" applyFill="1" applyBorder="1"/>
    <xf numFmtId="3" fontId="2" fillId="10" borderId="28" xfId="0" applyNumberFormat="1" applyFont="1" applyFill="1" applyBorder="1"/>
    <xf numFmtId="0" fontId="0" fillId="0" borderId="9" xfId="0" applyBorder="1"/>
    <xf numFmtId="0" fontId="0" fillId="0" borderId="10" xfId="0" applyBorder="1"/>
    <xf numFmtId="0" fontId="14" fillId="9" borderId="6" xfId="0" applyFont="1" applyFill="1" applyBorder="1"/>
    <xf numFmtId="3" fontId="14" fillId="9" borderId="8" xfId="0" applyNumberFormat="1" applyFont="1" applyFill="1" applyBorder="1"/>
    <xf numFmtId="3" fontId="14" fillId="9" borderId="7" xfId="0" applyNumberFormat="1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4" fillId="0" borderId="6" xfId="0" applyFont="1" applyFill="1" applyBorder="1"/>
    <xf numFmtId="3" fontId="0" fillId="6" borderId="26" xfId="0" applyNumberFormat="1" applyFill="1" applyBorder="1"/>
    <xf numFmtId="3" fontId="0" fillId="6" borderId="7" xfId="0" applyNumberFormat="1" applyFill="1" applyBorder="1"/>
    <xf numFmtId="3" fontId="0" fillId="7" borderId="7" xfId="0" applyNumberFormat="1" applyFill="1" applyBorder="1"/>
    <xf numFmtId="3" fontId="0" fillId="8" borderId="7" xfId="0" applyNumberFormat="1" applyFill="1" applyBorder="1"/>
    <xf numFmtId="0" fontId="0" fillId="10" borderId="24" xfId="0" applyFill="1" applyBorder="1"/>
    <xf numFmtId="3" fontId="0" fillId="10" borderId="25" xfId="0" applyNumberFormat="1" applyFill="1" applyBorder="1"/>
    <xf numFmtId="0" fontId="0" fillId="10" borderId="26" xfId="0" applyFill="1" applyBorder="1"/>
    <xf numFmtId="3" fontId="2" fillId="10" borderId="29" xfId="0" applyNumberFormat="1" applyFont="1" applyFill="1" applyBorder="1"/>
    <xf numFmtId="49" fontId="6" fillId="0" borderId="0" xfId="0" applyNumberFormat="1" applyFont="1" applyFill="1" applyBorder="1"/>
    <xf numFmtId="0" fontId="12" fillId="0" borderId="0" xfId="0" applyFont="1" applyFill="1" applyBorder="1"/>
    <xf numFmtId="3" fontId="6" fillId="5" borderId="23" xfId="0" applyNumberFormat="1" applyFont="1" applyFill="1" applyBorder="1"/>
    <xf numFmtId="3" fontId="2" fillId="6" borderId="7" xfId="0" applyNumberFormat="1" applyFont="1" applyFill="1" applyBorder="1"/>
    <xf numFmtId="3" fontId="0" fillId="11" borderId="13" xfId="0" applyNumberFormat="1" applyFill="1" applyBorder="1"/>
    <xf numFmtId="0" fontId="0" fillId="7" borderId="30" xfId="0" applyFill="1" applyBorder="1"/>
    <xf numFmtId="3" fontId="0" fillId="11" borderId="28" xfId="0" applyNumberFormat="1" applyFill="1" applyBorder="1"/>
    <xf numFmtId="3" fontId="0" fillId="11" borderId="30" xfId="0" applyNumberFormat="1" applyFill="1" applyBorder="1"/>
    <xf numFmtId="0" fontId="2" fillId="7" borderId="4" xfId="0" applyFont="1" applyFill="1" applyBorder="1"/>
    <xf numFmtId="3" fontId="2" fillId="7" borderId="15" xfId="0" applyNumberFormat="1" applyFont="1" applyFill="1" applyBorder="1"/>
    <xf numFmtId="3" fontId="2" fillId="7" borderId="12" xfId="0" applyNumberFormat="1" applyFont="1" applyFill="1" applyBorder="1"/>
    <xf numFmtId="0" fontId="0" fillId="8" borderId="17" xfId="0" applyFill="1" applyBorder="1"/>
    <xf numFmtId="3" fontId="0" fillId="8" borderId="17" xfId="0" applyNumberFormat="1" applyFill="1" applyBorder="1"/>
    <xf numFmtId="3" fontId="2" fillId="8" borderId="7" xfId="0" applyNumberFormat="1" applyFont="1" applyFill="1" applyBorder="1"/>
    <xf numFmtId="0" fontId="2" fillId="0" borderId="6" xfId="0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0" fontId="2" fillId="0" borderId="27" xfId="0" applyFont="1" applyBorder="1"/>
    <xf numFmtId="3" fontId="2" fillId="0" borderId="15" xfId="0" applyNumberFormat="1" applyFont="1" applyBorder="1"/>
    <xf numFmtId="0" fontId="2" fillId="12" borderId="7" xfId="0" applyFont="1" applyFill="1" applyBorder="1" applyAlignment="1">
      <alignment horizontal="left"/>
    </xf>
    <xf numFmtId="0" fontId="0" fillId="10" borderId="17" xfId="0" applyFont="1" applyFill="1" applyBorder="1" applyAlignment="1">
      <alignment horizontal="left"/>
    </xf>
    <xf numFmtId="3" fontId="0" fillId="12" borderId="17" xfId="0" applyNumberFormat="1" applyFill="1" applyBorder="1"/>
    <xf numFmtId="0" fontId="2" fillId="10" borderId="6" xfId="0" applyFont="1" applyFill="1" applyBorder="1"/>
    <xf numFmtId="3" fontId="2" fillId="10" borderId="8" xfId="0" applyNumberFormat="1" applyFont="1" applyFill="1" applyBorder="1"/>
    <xf numFmtId="3" fontId="2" fillId="10" borderId="7" xfId="0" applyNumberFormat="1" applyFont="1" applyFill="1" applyBorder="1"/>
    <xf numFmtId="0" fontId="2" fillId="13" borderId="1" xfId="0" applyFont="1" applyFill="1" applyBorder="1"/>
    <xf numFmtId="3" fontId="2" fillId="13" borderId="8" xfId="0" applyNumberFormat="1" applyFont="1" applyFill="1" applyBorder="1"/>
    <xf numFmtId="3" fontId="2" fillId="13" borderId="8" xfId="0" applyNumberFormat="1" applyFont="1" applyFill="1" applyBorder="1" applyAlignment="1">
      <alignment horizontal="center"/>
    </xf>
    <xf numFmtId="3" fontId="2" fillId="13" borderId="31" xfId="0" applyNumberFormat="1" applyFont="1" applyFill="1" applyBorder="1" applyAlignment="1">
      <alignment horizontal="center"/>
    </xf>
    <xf numFmtId="3" fontId="0" fillId="0" borderId="8" xfId="0" applyNumberFormat="1" applyBorder="1"/>
    <xf numFmtId="0" fontId="0" fillId="0" borderId="31" xfId="0" applyBorder="1"/>
    <xf numFmtId="3" fontId="0" fillId="5" borderId="17" xfId="0" applyNumberFormat="1" applyFill="1" applyBorder="1"/>
    <xf numFmtId="0" fontId="0" fillId="5" borderId="31" xfId="0" applyFill="1" applyBorder="1"/>
    <xf numFmtId="0" fontId="2" fillId="5" borderId="27" xfId="0" applyFont="1" applyFill="1" applyBorder="1"/>
    <xf numFmtId="3" fontId="0" fillId="5" borderId="28" xfId="0" applyNumberFormat="1" applyFill="1" applyBorder="1"/>
    <xf numFmtId="3" fontId="0" fillId="5" borderId="31" xfId="0" applyNumberFormat="1" applyFill="1" applyBorder="1"/>
    <xf numFmtId="3" fontId="0" fillId="0" borderId="11" xfId="0" applyNumberFormat="1" applyBorder="1"/>
    <xf numFmtId="3" fontId="0" fillId="6" borderId="17" xfId="0" applyNumberFormat="1" applyFill="1" applyBorder="1"/>
    <xf numFmtId="0" fontId="0" fillId="6" borderId="31" xfId="0" applyFill="1" applyBorder="1"/>
    <xf numFmtId="0" fontId="2" fillId="6" borderId="24" xfId="0" applyFont="1" applyFill="1" applyBorder="1"/>
    <xf numFmtId="3" fontId="0" fillId="6" borderId="28" xfId="0" applyNumberFormat="1" applyFill="1" applyBorder="1"/>
    <xf numFmtId="3" fontId="0" fillId="6" borderId="31" xfId="0" applyNumberFormat="1" applyFill="1" applyBorder="1"/>
    <xf numFmtId="0" fontId="0" fillId="7" borderId="18" xfId="0" applyFill="1" applyBorder="1"/>
    <xf numFmtId="3" fontId="0" fillId="7" borderId="17" xfId="0" applyNumberFormat="1" applyFill="1" applyBorder="1"/>
    <xf numFmtId="0" fontId="0" fillId="7" borderId="31" xfId="0" applyFill="1" applyBorder="1"/>
    <xf numFmtId="0" fontId="2" fillId="7" borderId="24" xfId="0" applyFont="1" applyFill="1" applyBorder="1"/>
    <xf numFmtId="3" fontId="0" fillId="7" borderId="28" xfId="0" applyNumberFormat="1" applyFill="1" applyBorder="1"/>
    <xf numFmtId="3" fontId="0" fillId="7" borderId="31" xfId="0" applyNumberFormat="1" applyFill="1" applyBorder="1"/>
    <xf numFmtId="0" fontId="0" fillId="8" borderId="18" xfId="0" applyFill="1" applyBorder="1"/>
    <xf numFmtId="0" fontId="0" fillId="8" borderId="31" xfId="0" applyFill="1" applyBorder="1"/>
    <xf numFmtId="0" fontId="2" fillId="8" borderId="24" xfId="0" applyFont="1" applyFill="1" applyBorder="1"/>
    <xf numFmtId="3" fontId="0" fillId="8" borderId="28" xfId="0" applyNumberFormat="1" applyFill="1" applyBorder="1"/>
    <xf numFmtId="3" fontId="0" fillId="8" borderId="31" xfId="0" applyNumberFormat="1" applyFill="1" applyBorder="1"/>
    <xf numFmtId="0" fontId="2" fillId="0" borderId="24" xfId="0" applyFont="1" applyBorder="1"/>
    <xf numFmtId="3" fontId="0" fillId="10" borderId="17" xfId="0" applyNumberFormat="1" applyFill="1" applyBorder="1"/>
    <xf numFmtId="0" fontId="0" fillId="10" borderId="31" xfId="0" applyFill="1" applyBorder="1"/>
    <xf numFmtId="3" fontId="0" fillId="10" borderId="28" xfId="0" applyNumberFormat="1" applyFill="1" applyBorder="1"/>
    <xf numFmtId="3" fontId="0" fillId="10" borderId="31" xfId="0" applyNumberFormat="1" applyFill="1" applyBorder="1"/>
    <xf numFmtId="3" fontId="0" fillId="0" borderId="0" xfId="0" applyNumberFormat="1" applyBorder="1"/>
    <xf numFmtId="0" fontId="2" fillId="9" borderId="8" xfId="0" applyFont="1" applyFill="1" applyBorder="1"/>
    <xf numFmtId="3" fontId="2" fillId="9" borderId="8" xfId="0" applyNumberFormat="1" applyFont="1" applyFill="1" applyBorder="1"/>
    <xf numFmtId="0" fontId="14" fillId="0" borderId="6" xfId="0" applyFont="1" applyFill="1" applyBorder="1" applyAlignment="1">
      <alignment wrapText="1"/>
    </xf>
    <xf numFmtId="2" fontId="0" fillId="0" borderId="0" xfId="0" applyNumberFormat="1"/>
    <xf numFmtId="3" fontId="2" fillId="6" borderId="7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/>
    </xf>
    <xf numFmtId="3" fontId="2" fillId="7" borderId="7" xfId="0" applyNumberFormat="1" applyFont="1" applyFill="1" applyBorder="1"/>
    <xf numFmtId="3" fontId="2" fillId="8" borderId="7" xfId="0" applyNumberFormat="1" applyFont="1" applyFill="1" applyBorder="1" applyAlignment="1">
      <alignment horizontal="left"/>
    </xf>
    <xf numFmtId="3" fontId="0" fillId="9" borderId="8" xfId="0" applyNumberFormat="1" applyFill="1" applyBorder="1"/>
    <xf numFmtId="3" fontId="0" fillId="9" borderId="12" xfId="0" applyNumberFormat="1" applyFill="1" applyBorder="1"/>
    <xf numFmtId="3" fontId="2" fillId="10" borderId="7" xfId="0" applyNumberFormat="1" applyFont="1" applyFill="1" applyBorder="1" applyAlignment="1">
      <alignment horizontal="left"/>
    </xf>
    <xf numFmtId="3" fontId="0" fillId="10" borderId="26" xfId="0" applyNumberFormat="1" applyFill="1" applyBorder="1"/>
    <xf numFmtId="3" fontId="0" fillId="10" borderId="29" xfId="0" applyNumberFormat="1" applyFill="1" applyBorder="1"/>
    <xf numFmtId="3" fontId="0" fillId="0" borderId="9" xfId="0" applyNumberFormat="1" applyBorder="1"/>
    <xf numFmtId="3" fontId="0" fillId="0" borderId="10" xfId="0" applyNumberFormat="1" applyBorder="1"/>
    <xf numFmtId="3" fontId="0" fillId="5" borderId="22" xfId="0" applyNumberFormat="1" applyFill="1" applyBorder="1" applyAlignment="1">
      <alignment horizontal="right"/>
    </xf>
    <xf numFmtId="4" fontId="2" fillId="0" borderId="13" xfId="0" applyNumberFormat="1" applyFont="1" applyBorder="1"/>
    <xf numFmtId="4" fontId="2" fillId="6" borderId="8" xfId="0" applyNumberFormat="1" applyFont="1" applyFill="1" applyBorder="1" applyAlignment="1">
      <alignment horizontal="center"/>
    </xf>
    <xf numFmtId="4" fontId="2" fillId="7" borderId="8" xfId="0" applyNumberFormat="1" applyFont="1" applyFill="1" applyBorder="1" applyAlignment="1">
      <alignment horizontal="center"/>
    </xf>
    <xf numFmtId="4" fontId="2" fillId="8" borderId="8" xfId="0" applyNumberFormat="1" applyFont="1" applyFill="1" applyBorder="1" applyAlignment="1">
      <alignment horizontal="left"/>
    </xf>
    <xf numFmtId="4" fontId="2" fillId="0" borderId="8" xfId="0" applyNumberFormat="1" applyFont="1" applyBorder="1" applyAlignment="1">
      <alignment horizontal="left"/>
    </xf>
    <xf numFmtId="4" fontId="2" fillId="0" borderId="15" xfId="0" applyNumberFormat="1" applyFont="1" applyBorder="1"/>
    <xf numFmtId="4" fontId="2" fillId="10" borderId="8" xfId="0" applyNumberFormat="1" applyFont="1" applyFill="1" applyBorder="1" applyAlignment="1">
      <alignment horizontal="left"/>
    </xf>
    <xf numFmtId="4" fontId="0" fillId="0" borderId="9" xfId="0" applyNumberFormat="1" applyBorder="1"/>
    <xf numFmtId="0" fontId="0" fillId="0" borderId="0" xfId="0" applyBorder="1" applyAlignment="1"/>
    <xf numFmtId="0" fontId="0" fillId="0" borderId="0" xfId="0" applyAlignment="1">
      <alignment horizontal="left" vertical="top"/>
    </xf>
    <xf numFmtId="3" fontId="0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/>
    <xf numFmtId="0" fontId="2" fillId="5" borderId="8" xfId="0" applyFont="1" applyFill="1" applyBorder="1" applyAlignment="1"/>
    <xf numFmtId="0" fontId="2" fillId="5" borderId="7" xfId="0" applyFont="1" applyFill="1" applyBorder="1" applyAlignment="1"/>
    <xf numFmtId="0" fontId="2" fillId="0" borderId="0" xfId="0" applyFont="1" applyBorder="1" applyAlignment="1">
      <alignment vertical="center"/>
    </xf>
    <xf numFmtId="0" fontId="2" fillId="6" borderId="6" xfId="0" applyFont="1" applyFill="1" applyBorder="1" applyAlignment="1"/>
    <xf numFmtId="0" fontId="2" fillId="7" borderId="6" xfId="0" applyFont="1" applyFill="1" applyBorder="1" applyAlignment="1"/>
    <xf numFmtId="0" fontId="2" fillId="8" borderId="6" xfId="0" applyFont="1" applyFill="1" applyBorder="1" applyAlignment="1"/>
    <xf numFmtId="0" fontId="2" fillId="9" borderId="6" xfId="0" applyFont="1" applyFill="1" applyBorder="1" applyAlignment="1"/>
    <xf numFmtId="0" fontId="2" fillId="9" borderId="8" xfId="0" applyFont="1" applyFill="1" applyBorder="1" applyAlignment="1"/>
    <xf numFmtId="0" fontId="0" fillId="9" borderId="4" xfId="0" applyFont="1" applyFill="1" applyBorder="1" applyAlignment="1">
      <alignment horizontal="left"/>
    </xf>
    <xf numFmtId="0" fontId="2" fillId="10" borderId="6" xfId="0" applyFont="1" applyFill="1" applyBorder="1" applyAlignment="1"/>
    <xf numFmtId="0" fontId="2" fillId="14" borderId="6" xfId="0" applyFont="1" applyFill="1" applyBorder="1" applyAlignment="1"/>
    <xf numFmtId="0" fontId="0" fillId="14" borderId="6" xfId="0" applyFill="1" applyBorder="1"/>
    <xf numFmtId="0" fontId="2" fillId="14" borderId="4" xfId="0" applyFont="1" applyFill="1" applyBorder="1"/>
    <xf numFmtId="0" fontId="7" fillId="0" borderId="0" xfId="0" applyFont="1" applyFill="1" applyBorder="1"/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left" wrapText="1"/>
    </xf>
    <xf numFmtId="3" fontId="2" fillId="0" borderId="28" xfId="0" applyNumberFormat="1" applyFont="1" applyFill="1" applyBorder="1"/>
    <xf numFmtId="0" fontId="6" fillId="0" borderId="0" xfId="0" applyFont="1" applyFill="1" applyBorder="1"/>
    <xf numFmtId="4" fontId="14" fillId="0" borderId="8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/>
    <xf numFmtId="4" fontId="12" fillId="0" borderId="0" xfId="0" applyNumberFormat="1" applyFont="1" applyFill="1" applyBorder="1" applyAlignment="1">
      <alignment horizontal="right" vertical="center"/>
    </xf>
    <xf numFmtId="0" fontId="13" fillId="0" borderId="1" xfId="0" applyFont="1" applyBorder="1"/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/>
    <xf numFmtId="0" fontId="2" fillId="5" borderId="10" xfId="0" applyFont="1" applyFill="1" applyBorder="1" applyAlignment="1"/>
    <xf numFmtId="3" fontId="0" fillId="5" borderId="17" xfId="0" applyNumberFormat="1" applyFill="1" applyBorder="1" applyAlignment="1">
      <alignment horizontal="right" vertical="center"/>
    </xf>
    <xf numFmtId="3" fontId="0" fillId="5" borderId="16" xfId="0" applyNumberFormat="1" applyFill="1" applyBorder="1" applyAlignment="1">
      <alignment horizontal="right" vertical="center"/>
    </xf>
    <xf numFmtId="3" fontId="0" fillId="5" borderId="19" xfId="0" applyNumberFormat="1" applyFill="1" applyBorder="1" applyAlignment="1">
      <alignment horizontal="right" vertical="center"/>
    </xf>
    <xf numFmtId="3" fontId="0" fillId="5" borderId="22" xfId="0" applyNumberFormat="1" applyFill="1" applyBorder="1" applyAlignment="1">
      <alignment horizontal="right" vertical="center"/>
    </xf>
    <xf numFmtId="3" fontId="0" fillId="5" borderId="23" xfId="0" applyNumberFormat="1" applyFill="1" applyBorder="1" applyAlignment="1">
      <alignment horizontal="right" vertical="center"/>
    </xf>
    <xf numFmtId="3" fontId="0" fillId="5" borderId="15" xfId="0" applyNumberFormat="1" applyFill="1" applyBorder="1" applyAlignment="1">
      <alignment horizontal="right" vertical="center"/>
    </xf>
    <xf numFmtId="3" fontId="0" fillId="5" borderId="28" xfId="0" applyNumberFormat="1" applyFill="1" applyBorder="1" applyAlignment="1">
      <alignment horizontal="right" vertical="center"/>
    </xf>
    <xf numFmtId="3" fontId="0" fillId="5" borderId="29" xfId="0" applyNumberFormat="1" applyFill="1" applyBorder="1" applyAlignment="1">
      <alignment horizontal="right" vertical="center"/>
    </xf>
    <xf numFmtId="3" fontId="2" fillId="5" borderId="8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6" borderId="8" xfId="0" applyNumberFormat="1" applyFont="1" applyFill="1" applyBorder="1" applyAlignment="1"/>
    <xf numFmtId="3" fontId="2" fillId="6" borderId="14" xfId="0" applyNumberFormat="1" applyFont="1" applyFill="1" applyBorder="1" applyAlignment="1"/>
    <xf numFmtId="3" fontId="0" fillId="6" borderId="19" xfId="0" applyNumberFormat="1" applyFill="1" applyBorder="1" applyAlignment="1">
      <alignment horizontal="right" vertical="center"/>
    </xf>
    <xf numFmtId="3" fontId="0" fillId="6" borderId="23" xfId="0" applyNumberFormat="1" applyFill="1" applyBorder="1" applyAlignment="1">
      <alignment horizontal="right" vertical="center"/>
    </xf>
    <xf numFmtId="3" fontId="0" fillId="6" borderId="22" xfId="0" applyNumberFormat="1" applyFill="1" applyBorder="1" applyAlignment="1">
      <alignment horizontal="right" vertical="center"/>
    </xf>
    <xf numFmtId="3" fontId="0" fillId="6" borderId="26" xfId="0" applyNumberFormat="1" applyFill="1" applyBorder="1" applyAlignment="1">
      <alignment horizontal="right" vertical="center"/>
    </xf>
    <xf numFmtId="3" fontId="0" fillId="6" borderId="13" xfId="0" applyNumberFormat="1" applyFill="1" applyBorder="1" applyAlignment="1">
      <alignment horizontal="right" vertical="center"/>
    </xf>
    <xf numFmtId="3" fontId="2" fillId="6" borderId="8" xfId="0" applyNumberFormat="1" applyFont="1" applyFill="1" applyBorder="1" applyAlignment="1">
      <alignment horizontal="right" vertical="center"/>
    </xf>
    <xf numFmtId="3" fontId="2" fillId="6" borderId="7" xfId="0" applyNumberFormat="1" applyFont="1" applyFill="1" applyBorder="1" applyAlignment="1">
      <alignment horizontal="right" vertical="center"/>
    </xf>
    <xf numFmtId="3" fontId="2" fillId="7" borderId="6" xfId="0" applyNumberFormat="1" applyFont="1" applyFill="1" applyBorder="1" applyAlignment="1"/>
    <xf numFmtId="3" fontId="2" fillId="7" borderId="14" xfId="0" applyNumberFormat="1" applyFont="1" applyFill="1" applyBorder="1" applyAlignment="1"/>
    <xf numFmtId="3" fontId="0" fillId="7" borderId="13" xfId="0" applyNumberFormat="1" applyFill="1" applyBorder="1" applyAlignment="1">
      <alignment horizontal="right" vertical="center"/>
    </xf>
    <xf numFmtId="3" fontId="0" fillId="7" borderId="11" xfId="0" applyNumberFormat="1" applyFill="1" applyBorder="1" applyAlignment="1">
      <alignment horizontal="right" vertical="center"/>
    </xf>
    <xf numFmtId="3" fontId="2" fillId="7" borderId="8" xfId="0" applyNumberFormat="1" applyFont="1" applyFill="1" applyBorder="1" applyAlignment="1">
      <alignment horizontal="right" vertical="center"/>
    </xf>
    <xf numFmtId="3" fontId="2" fillId="7" borderId="7" xfId="0" applyNumberFormat="1" applyFont="1" applyFill="1" applyBorder="1" applyAlignment="1">
      <alignment horizontal="right" vertical="center"/>
    </xf>
    <xf numFmtId="3" fontId="2" fillId="8" borderId="8" xfId="0" applyNumberFormat="1" applyFont="1" applyFill="1" applyBorder="1" applyAlignment="1"/>
    <xf numFmtId="3" fontId="2" fillId="8" borderId="14" xfId="0" applyNumberFormat="1" applyFont="1" applyFill="1" applyBorder="1" applyAlignment="1"/>
    <xf numFmtId="3" fontId="2" fillId="8" borderId="8" xfId="0" applyNumberFormat="1" applyFont="1" applyFill="1" applyBorder="1" applyAlignment="1">
      <alignment horizontal="center"/>
    </xf>
    <xf numFmtId="3" fontId="0" fillId="8" borderId="13" xfId="0" applyNumberFormat="1" applyFill="1" applyBorder="1" applyAlignment="1">
      <alignment horizontal="right" vertical="center"/>
    </xf>
    <xf numFmtId="3" fontId="0" fillId="8" borderId="11" xfId="0" applyNumberFormat="1" applyFill="1" applyBorder="1" applyAlignment="1">
      <alignment horizontal="right" vertical="center"/>
    </xf>
    <xf numFmtId="3" fontId="2" fillId="8" borderId="8" xfId="0" applyNumberFormat="1" applyFont="1" applyFill="1" applyBorder="1" applyAlignment="1">
      <alignment horizontal="right" vertical="center"/>
    </xf>
    <xf numFmtId="3" fontId="2" fillId="8" borderId="7" xfId="0" applyNumberFormat="1" applyFont="1" applyFill="1" applyBorder="1" applyAlignment="1">
      <alignment horizontal="right" vertical="center"/>
    </xf>
    <xf numFmtId="3" fontId="2" fillId="9" borderId="14" xfId="0" applyNumberFormat="1" applyFont="1" applyFill="1" applyBorder="1" applyAlignment="1"/>
    <xf numFmtId="3" fontId="2" fillId="9" borderId="8" xfId="0" applyNumberFormat="1" applyFont="1" applyFill="1" applyBorder="1" applyAlignment="1">
      <alignment horizontal="center"/>
    </xf>
    <xf numFmtId="0" fontId="0" fillId="9" borderId="19" xfId="0" applyFont="1" applyFill="1" applyBorder="1" applyAlignment="1">
      <alignment horizontal="left"/>
    </xf>
    <xf numFmtId="3" fontId="0" fillId="9" borderId="32" xfId="0" applyNumberFormat="1" applyFont="1" applyFill="1" applyBorder="1" applyAlignment="1">
      <alignment horizontal="right" vertical="center"/>
    </xf>
    <xf numFmtId="3" fontId="0" fillId="9" borderId="17" xfId="0" applyNumberFormat="1" applyFont="1" applyFill="1" applyBorder="1" applyAlignment="1">
      <alignment horizontal="right" vertical="center"/>
    </xf>
    <xf numFmtId="3" fontId="0" fillId="9" borderId="19" xfId="0" applyNumberFormat="1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left"/>
    </xf>
    <xf numFmtId="3" fontId="0" fillId="9" borderId="33" xfId="0" applyNumberFormat="1" applyFont="1" applyFill="1" applyBorder="1" applyAlignment="1">
      <alignment horizontal="right" vertical="center"/>
    </xf>
    <xf numFmtId="3" fontId="0" fillId="9" borderId="22" xfId="0" applyNumberFormat="1" applyFont="1" applyFill="1" applyBorder="1" applyAlignment="1">
      <alignment horizontal="right" vertical="center"/>
    </xf>
    <xf numFmtId="0" fontId="0" fillId="9" borderId="25" xfId="0" applyFont="1" applyFill="1" applyBorder="1" applyAlignment="1">
      <alignment horizontal="left"/>
    </xf>
    <xf numFmtId="3" fontId="0" fillId="9" borderId="34" xfId="0" applyNumberFormat="1" applyFont="1" applyFill="1" applyBorder="1" applyAlignment="1">
      <alignment horizontal="right" vertical="center"/>
    </xf>
    <xf numFmtId="3" fontId="0" fillId="9" borderId="25" xfId="0" applyNumberFormat="1" applyFont="1" applyFill="1" applyBorder="1" applyAlignment="1">
      <alignment horizontal="right" vertical="center"/>
    </xf>
    <xf numFmtId="3" fontId="2" fillId="9" borderId="14" xfId="0" applyNumberFormat="1" applyFont="1" applyFill="1" applyBorder="1" applyAlignment="1">
      <alignment horizontal="right" vertical="center"/>
    </xf>
    <xf numFmtId="3" fontId="2" fillId="9" borderId="8" xfId="0" applyNumberFormat="1" applyFont="1" applyFill="1" applyBorder="1" applyAlignment="1">
      <alignment horizontal="right" vertical="center"/>
    </xf>
    <xf numFmtId="3" fontId="2" fillId="10" borderId="8" xfId="0" applyNumberFormat="1" applyFont="1" applyFill="1" applyBorder="1" applyAlignment="1"/>
    <xf numFmtId="3" fontId="2" fillId="10" borderId="14" xfId="0" applyNumberFormat="1" applyFont="1" applyFill="1" applyBorder="1" applyAlignment="1"/>
    <xf numFmtId="3" fontId="2" fillId="10" borderId="8" xfId="0" applyNumberFormat="1" applyFont="1" applyFill="1" applyBorder="1" applyAlignment="1">
      <alignment horizontal="center"/>
    </xf>
    <xf numFmtId="3" fontId="0" fillId="10" borderId="19" xfId="0" applyNumberFormat="1" applyFill="1" applyBorder="1" applyAlignment="1">
      <alignment horizontal="right" vertical="center"/>
    </xf>
    <xf numFmtId="3" fontId="0" fillId="10" borderId="20" xfId="0" applyNumberFormat="1" applyFill="1" applyBorder="1" applyAlignment="1">
      <alignment horizontal="right" vertical="center"/>
    </xf>
    <xf numFmtId="3" fontId="0" fillId="10" borderId="25" xfId="0" applyNumberFormat="1" applyFill="1" applyBorder="1" applyAlignment="1">
      <alignment horizontal="right" vertical="center"/>
    </xf>
    <xf numFmtId="3" fontId="0" fillId="10" borderId="26" xfId="0" applyNumberFormat="1" applyFill="1" applyBorder="1" applyAlignment="1">
      <alignment horizontal="right" vertical="center"/>
    </xf>
    <xf numFmtId="3" fontId="2" fillId="10" borderId="8" xfId="0" applyNumberFormat="1" applyFont="1" applyFill="1" applyBorder="1" applyAlignment="1">
      <alignment horizontal="right" vertical="center"/>
    </xf>
    <xf numFmtId="3" fontId="2" fillId="10" borderId="7" xfId="0" applyNumberFormat="1" applyFont="1" applyFill="1" applyBorder="1" applyAlignment="1">
      <alignment horizontal="right" vertical="center"/>
    </xf>
    <xf numFmtId="3" fontId="2" fillId="14" borderId="8" xfId="0" applyNumberFormat="1" applyFont="1" applyFill="1" applyBorder="1" applyAlignment="1"/>
    <xf numFmtId="3" fontId="2" fillId="14" borderId="14" xfId="0" applyNumberFormat="1" applyFont="1" applyFill="1" applyBorder="1" applyAlignment="1"/>
    <xf numFmtId="3" fontId="2" fillId="14" borderId="8" xfId="0" applyNumberFormat="1" applyFont="1" applyFill="1" applyBorder="1" applyAlignment="1">
      <alignment horizontal="center"/>
    </xf>
    <xf numFmtId="3" fontId="0" fillId="14" borderId="8" xfId="0" applyNumberFormat="1" applyFill="1" applyBorder="1" applyAlignment="1">
      <alignment horizontal="right" vertical="center"/>
    </xf>
    <xf numFmtId="3" fontId="0" fillId="14" borderId="7" xfId="0" applyNumberFormat="1" applyFill="1" applyBorder="1" applyAlignment="1">
      <alignment horizontal="right" vertical="center"/>
    </xf>
    <xf numFmtId="3" fontId="2" fillId="14" borderId="15" xfId="0" applyNumberFormat="1" applyFont="1" applyFill="1" applyBorder="1" applyAlignment="1">
      <alignment horizontal="right" vertical="center"/>
    </xf>
    <xf numFmtId="3" fontId="2" fillId="14" borderId="12" xfId="0" applyNumberFormat="1" applyFont="1" applyFill="1" applyBorder="1" applyAlignment="1">
      <alignment horizontal="right" vertical="center"/>
    </xf>
    <xf numFmtId="3" fontId="2" fillId="14" borderId="8" xfId="0" applyNumberFormat="1" applyFont="1" applyFill="1" applyBorder="1" applyAlignment="1">
      <alignment horizontal="right" vertical="center"/>
    </xf>
    <xf numFmtId="3" fontId="14" fillId="9" borderId="8" xfId="0" applyNumberFormat="1" applyFont="1" applyFill="1" applyBorder="1" applyAlignment="1">
      <alignment horizontal="right" vertical="center"/>
    </xf>
    <xf numFmtId="4" fontId="14" fillId="0" borderId="14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8" borderId="7" xfId="0" applyNumberFormat="1" applyFont="1" applyFill="1" applyBorder="1" applyAlignment="1">
      <alignment horizontal="center"/>
    </xf>
    <xf numFmtId="3" fontId="2" fillId="9" borderId="7" xfId="0" applyNumberFormat="1" applyFont="1" applyFill="1" applyBorder="1" applyAlignment="1">
      <alignment horizontal="center"/>
    </xf>
    <xf numFmtId="3" fontId="2" fillId="10" borderId="7" xfId="0" applyNumberFormat="1" applyFont="1" applyFill="1" applyBorder="1" applyAlignment="1">
      <alignment horizontal="center"/>
    </xf>
    <xf numFmtId="3" fontId="2" fillId="14" borderId="7" xfId="0" applyNumberFormat="1" applyFont="1" applyFill="1" applyBorder="1" applyAlignment="1">
      <alignment horizontal="center"/>
    </xf>
    <xf numFmtId="0" fontId="2" fillId="5" borderId="9" xfId="0" applyFont="1" applyFill="1" applyBorder="1" applyAlignment="1"/>
    <xf numFmtId="0" fontId="2" fillId="5" borderId="10" xfId="0" applyFont="1" applyFill="1" applyBorder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6" borderId="7" xfId="0" applyNumberFormat="1" applyFont="1" applyFill="1" applyBorder="1" applyAlignment="1"/>
    <xf numFmtId="3" fontId="0" fillId="6" borderId="25" xfId="0" applyNumberFormat="1" applyFill="1" applyBorder="1" applyAlignment="1">
      <alignment horizontal="right" vertical="center"/>
    </xf>
    <xf numFmtId="3" fontId="0" fillId="6" borderId="28" xfId="0" applyNumberFormat="1" applyFill="1" applyBorder="1" applyAlignment="1">
      <alignment horizontal="right" vertical="center"/>
    </xf>
    <xf numFmtId="3" fontId="2" fillId="6" borderId="15" xfId="0" applyNumberFormat="1" applyFont="1" applyFill="1" applyBorder="1" applyAlignment="1">
      <alignment horizontal="right" vertical="center"/>
    </xf>
    <xf numFmtId="3" fontId="2" fillId="7" borderId="8" xfId="0" applyNumberFormat="1" applyFont="1" applyFill="1" applyBorder="1" applyAlignment="1"/>
    <xf numFmtId="3" fontId="2" fillId="7" borderId="7" xfId="0" applyNumberFormat="1" applyFont="1" applyFill="1" applyBorder="1" applyAlignment="1"/>
    <xf numFmtId="3" fontId="0" fillId="7" borderId="8" xfId="0" applyNumberFormat="1" applyFill="1" applyBorder="1" applyAlignment="1">
      <alignment horizontal="right" vertical="center"/>
    </xf>
    <xf numFmtId="3" fontId="2" fillId="8" borderId="7" xfId="0" applyNumberFormat="1" applyFont="1" applyFill="1" applyBorder="1" applyAlignment="1"/>
    <xf numFmtId="3" fontId="0" fillId="8" borderId="8" xfId="0" applyNumberFormat="1" applyFill="1" applyBorder="1" applyAlignment="1">
      <alignment horizontal="right" vertical="center"/>
    </xf>
    <xf numFmtId="3" fontId="2" fillId="9" borderId="8" xfId="0" applyNumberFormat="1" applyFont="1" applyFill="1" applyBorder="1" applyAlignment="1"/>
    <xf numFmtId="3" fontId="2" fillId="9" borderId="7" xfId="0" applyNumberFormat="1" applyFont="1" applyFill="1" applyBorder="1" applyAlignment="1"/>
    <xf numFmtId="3" fontId="0" fillId="9" borderId="20" xfId="0" applyNumberFormat="1" applyFont="1" applyFill="1" applyBorder="1" applyAlignment="1">
      <alignment horizontal="right" vertical="center"/>
    </xf>
    <xf numFmtId="3" fontId="0" fillId="9" borderId="23" xfId="0" applyNumberFormat="1" applyFont="1" applyFill="1" applyBorder="1" applyAlignment="1">
      <alignment horizontal="right" vertical="center"/>
    </xf>
    <xf numFmtId="3" fontId="0" fillId="9" borderId="26" xfId="0" applyNumberFormat="1" applyFont="1" applyFill="1" applyBorder="1" applyAlignment="1">
      <alignment horizontal="right" vertical="center"/>
    </xf>
    <xf numFmtId="3" fontId="2" fillId="9" borderId="7" xfId="0" applyNumberFormat="1" applyFont="1" applyFill="1" applyBorder="1" applyAlignment="1">
      <alignment horizontal="right" vertical="center"/>
    </xf>
    <xf numFmtId="3" fontId="2" fillId="10" borderId="7" xfId="0" applyNumberFormat="1" applyFont="1" applyFill="1" applyBorder="1" applyAlignment="1"/>
    <xf numFmtId="3" fontId="2" fillId="14" borderId="7" xfId="0" applyNumberFormat="1" applyFont="1" applyFill="1" applyBorder="1" applyAlignment="1"/>
    <xf numFmtId="4" fontId="14" fillId="0" borderId="7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horizontal="center" vertical="center"/>
    </xf>
    <xf numFmtId="0" fontId="2" fillId="5" borderId="13" xfId="0" applyFont="1" applyFill="1" applyBorder="1" applyAlignment="1"/>
    <xf numFmtId="0" fontId="2" fillId="5" borderId="0" xfId="0" applyFont="1" applyFill="1" applyBorder="1" applyAlignment="1"/>
    <xf numFmtId="0" fontId="0" fillId="0" borderId="3" xfId="0" applyBorder="1" applyAlignment="1"/>
    <xf numFmtId="3" fontId="2" fillId="0" borderId="11" xfId="0" applyNumberFormat="1" applyFont="1" applyBorder="1" applyAlignment="1">
      <alignment vertical="center"/>
    </xf>
    <xf numFmtId="3" fontId="0" fillId="6" borderId="20" xfId="0" applyNumberFormat="1" applyFill="1" applyBorder="1" applyAlignment="1">
      <alignment horizontal="right" vertical="center"/>
    </xf>
    <xf numFmtId="3" fontId="0" fillId="6" borderId="29" xfId="0" applyNumberFormat="1" applyFill="1" applyBorder="1" applyAlignment="1">
      <alignment horizontal="right" vertical="center"/>
    </xf>
    <xf numFmtId="3" fontId="2" fillId="6" borderId="12" xfId="0" applyNumberFormat="1" applyFont="1" applyFill="1" applyBorder="1" applyAlignment="1">
      <alignment horizontal="right" vertical="center"/>
    </xf>
    <xf numFmtId="3" fontId="14" fillId="9" borderId="7" xfId="0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6" fillId="2" borderId="17" xfId="0" applyNumberFormat="1" applyFont="1" applyFill="1" applyBorder="1"/>
    <xf numFmtId="3" fontId="11" fillId="2" borderId="11" xfId="0" applyNumberFormat="1" applyFont="1" applyFill="1" applyBorder="1"/>
    <xf numFmtId="3" fontId="11" fillId="2" borderId="12" xfId="0" applyNumberFormat="1" applyFont="1" applyFill="1" applyBorder="1"/>
    <xf numFmtId="3" fontId="6" fillId="2" borderId="7" xfId="0" applyNumberFormat="1" applyFont="1" applyFill="1" applyBorder="1"/>
    <xf numFmtId="3" fontId="6" fillId="2" borderId="11" xfId="0" applyNumberFormat="1" applyFont="1" applyFill="1" applyBorder="1"/>
    <xf numFmtId="3" fontId="2" fillId="2" borderId="8" xfId="0" applyNumberFormat="1" applyFont="1" applyFill="1" applyBorder="1"/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6" fillId="4" borderId="9" xfId="0" applyNumberFormat="1" applyFont="1" applyFill="1" applyBorder="1"/>
    <xf numFmtId="3" fontId="6" fillId="4" borderId="13" xfId="0" applyNumberFormat="1" applyFont="1" applyFill="1" applyBorder="1"/>
    <xf numFmtId="3" fontId="0" fillId="4" borderId="13" xfId="0" applyNumberFormat="1" applyFont="1" applyFill="1" applyBorder="1"/>
    <xf numFmtId="3" fontId="6" fillId="4" borderId="15" xfId="0" applyNumberFormat="1" applyFont="1" applyFill="1" applyBorder="1"/>
    <xf numFmtId="3" fontId="6" fillId="4" borderId="17" xfId="0" applyNumberFormat="1" applyFont="1" applyFill="1" applyBorder="1"/>
    <xf numFmtId="3" fontId="11" fillId="4" borderId="11" xfId="0" applyNumberFormat="1" applyFont="1" applyFill="1" applyBorder="1"/>
    <xf numFmtId="3" fontId="11" fillId="4" borderId="12" xfId="0" applyNumberFormat="1" applyFont="1" applyFill="1" applyBorder="1"/>
    <xf numFmtId="3" fontId="6" fillId="4" borderId="7" xfId="0" applyNumberFormat="1" applyFont="1" applyFill="1" applyBorder="1"/>
    <xf numFmtId="3" fontId="6" fillId="4" borderId="11" xfId="0" applyNumberFormat="1" applyFont="1" applyFill="1" applyBorder="1"/>
    <xf numFmtId="3" fontId="6" fillId="4" borderId="12" xfId="0" applyNumberFormat="1" applyFont="1" applyFill="1" applyBorder="1"/>
    <xf numFmtId="3" fontId="2" fillId="4" borderId="8" xfId="0" applyNumberFormat="1" applyFont="1" applyFill="1" applyBorder="1"/>
    <xf numFmtId="3" fontId="6" fillId="4" borderId="10" xfId="0" applyNumberFormat="1" applyFont="1" applyFill="1" applyBorder="1"/>
    <xf numFmtId="3" fontId="6" fillId="4" borderId="16" xfId="0" applyNumberFormat="1" applyFont="1" applyFill="1" applyBorder="1"/>
    <xf numFmtId="3" fontId="2" fillId="4" borderId="7" xfId="0" applyNumberFormat="1" applyFont="1" applyFill="1" applyBorder="1"/>
    <xf numFmtId="3" fontId="6" fillId="2" borderId="10" xfId="0" applyNumberFormat="1" applyFont="1" applyFill="1" applyBorder="1"/>
    <xf numFmtId="3" fontId="6" fillId="2" borderId="16" xfId="0" applyNumberFormat="1" applyFont="1" applyFill="1" applyBorder="1"/>
    <xf numFmtId="3" fontId="6" fillId="2" borderId="9" xfId="0" applyNumberFormat="1" applyFont="1" applyFill="1" applyBorder="1"/>
    <xf numFmtId="3" fontId="11" fillId="2" borderId="13" xfId="0" applyNumberFormat="1" applyFont="1" applyFill="1" applyBorder="1"/>
    <xf numFmtId="3" fontId="11" fillId="2" borderId="15" xfId="0" applyNumberFormat="1" applyFont="1" applyFill="1" applyBorder="1"/>
    <xf numFmtId="3" fontId="6" fillId="2" borderId="8" xfId="0" applyNumberFormat="1" applyFont="1" applyFill="1" applyBorder="1"/>
    <xf numFmtId="3" fontId="11" fillId="4" borderId="13" xfId="0" applyNumberFormat="1" applyFont="1" applyFill="1" applyBorder="1"/>
    <xf numFmtId="3" fontId="11" fillId="4" borderId="15" xfId="0" applyNumberFormat="1" applyFont="1" applyFill="1" applyBorder="1"/>
    <xf numFmtId="3" fontId="6" fillId="4" borderId="8" xfId="0" applyNumberFormat="1" applyFont="1" applyFill="1" applyBorder="1"/>
    <xf numFmtId="3" fontId="6" fillId="3" borderId="9" xfId="0" applyNumberFormat="1" applyFont="1" applyFill="1" applyBorder="1"/>
    <xf numFmtId="3" fontId="6" fillId="3" borderId="13" xfId="0" applyNumberFormat="1" applyFont="1" applyFill="1" applyBorder="1"/>
    <xf numFmtId="3" fontId="6" fillId="3" borderId="17" xfId="0" applyNumberFormat="1" applyFont="1" applyFill="1" applyBorder="1"/>
    <xf numFmtId="3" fontId="11" fillId="3" borderId="13" xfId="0" applyNumberFormat="1" applyFont="1" applyFill="1" applyBorder="1"/>
    <xf numFmtId="3" fontId="11" fillId="3" borderId="15" xfId="0" applyNumberFormat="1" applyFont="1" applyFill="1" applyBorder="1"/>
    <xf numFmtId="3" fontId="6" fillId="3" borderId="8" xfId="0" applyNumberFormat="1" applyFont="1" applyFill="1" applyBorder="1"/>
    <xf numFmtId="3" fontId="6" fillId="3" borderId="15" xfId="0" applyNumberFormat="1" applyFont="1" applyFill="1" applyBorder="1"/>
    <xf numFmtId="3" fontId="2" fillId="3" borderId="8" xfId="0" applyNumberFormat="1" applyFont="1" applyFill="1" applyBorder="1"/>
    <xf numFmtId="3" fontId="0" fillId="3" borderId="13" xfId="0" applyNumberFormat="1" applyFont="1" applyFill="1" applyBorder="1"/>
    <xf numFmtId="3" fontId="6" fillId="3" borderId="10" xfId="0" applyNumberFormat="1" applyFont="1" applyFill="1" applyBorder="1"/>
    <xf numFmtId="3" fontId="6" fillId="3" borderId="11" xfId="0" applyNumberFormat="1" applyFont="1" applyFill="1" applyBorder="1"/>
    <xf numFmtId="3" fontId="6" fillId="3" borderId="16" xfId="0" applyNumberFormat="1" applyFont="1" applyFill="1" applyBorder="1"/>
    <xf numFmtId="3" fontId="11" fillId="3" borderId="11" xfId="0" applyNumberFormat="1" applyFont="1" applyFill="1" applyBorder="1"/>
    <xf numFmtId="3" fontId="11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2" xfId="0" applyNumberFormat="1" applyFont="1" applyFill="1" applyBorder="1"/>
    <xf numFmtId="3" fontId="2" fillId="3" borderId="7" xfId="0" applyNumberFormat="1" applyFont="1" applyFill="1" applyBorder="1"/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3" fontId="0" fillId="5" borderId="20" xfId="0" applyNumberFormat="1" applyFill="1" applyBorder="1" applyAlignment="1">
      <alignment horizontal="right" vertical="center"/>
    </xf>
    <xf numFmtId="3" fontId="0" fillId="9" borderId="15" xfId="0" applyNumberFormat="1" applyFont="1" applyFill="1" applyBorder="1" applyAlignment="1">
      <alignment horizontal="right" vertical="center"/>
    </xf>
    <xf numFmtId="3" fontId="0" fillId="9" borderId="12" xfId="0" applyNumberFormat="1" applyFont="1" applyFill="1" applyBorder="1" applyAlignment="1">
      <alignment horizontal="right" vertical="center"/>
    </xf>
    <xf numFmtId="3" fontId="0" fillId="8" borderId="9" xfId="0" applyNumberFormat="1" applyFill="1" applyBorder="1" applyAlignment="1">
      <alignment horizontal="right" vertical="center"/>
    </xf>
    <xf numFmtId="3" fontId="0" fillId="10" borderId="17" xfId="0" applyNumberFormat="1" applyFill="1" applyBorder="1" applyAlignment="1">
      <alignment horizontal="right" vertical="center"/>
    </xf>
    <xf numFmtId="3" fontId="0" fillId="10" borderId="22" xfId="0" applyNumberFormat="1" applyFill="1" applyBorder="1" applyAlignment="1">
      <alignment horizontal="right" vertical="center"/>
    </xf>
    <xf numFmtId="3" fontId="0" fillId="10" borderId="23" xfId="0" applyNumberFormat="1" applyFill="1" applyBorder="1" applyAlignment="1">
      <alignment horizontal="right" vertical="center"/>
    </xf>
    <xf numFmtId="3" fontId="2" fillId="10" borderId="28" xfId="0" applyNumberFormat="1" applyFont="1" applyFill="1" applyBorder="1" applyAlignment="1">
      <alignment horizontal="right" vertical="center"/>
    </xf>
    <xf numFmtId="3" fontId="2" fillId="10" borderId="29" xfId="0" applyNumberFormat="1" applyFont="1" applyFill="1" applyBorder="1" applyAlignment="1">
      <alignment horizontal="right" vertical="center"/>
    </xf>
    <xf numFmtId="3" fontId="2" fillId="9" borderId="6" xfId="0" applyNumberFormat="1" applyFont="1" applyFill="1" applyBorder="1" applyAlignment="1"/>
    <xf numFmtId="3" fontId="2" fillId="10" borderId="17" xfId="0" applyNumberFormat="1" applyFont="1" applyFill="1" applyBorder="1" applyAlignment="1"/>
    <xf numFmtId="3" fontId="2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2" fillId="5" borderId="35" xfId="0" applyNumberFormat="1" applyFont="1" applyFill="1" applyBorder="1" applyAlignment="1">
      <alignment horizontal="center"/>
    </xf>
    <xf numFmtId="0" fontId="2" fillId="9" borderId="12" xfId="0" applyFont="1" applyFill="1" applyBorder="1"/>
    <xf numFmtId="3" fontId="2" fillId="5" borderId="28" xfId="0" applyNumberFormat="1" applyFont="1" applyFill="1" applyBorder="1"/>
    <xf numFmtId="3" fontId="2" fillId="6" borderId="28" xfId="0" applyNumberFormat="1" applyFont="1" applyFill="1" applyBorder="1"/>
    <xf numFmtId="0" fontId="0" fillId="14" borderId="18" xfId="0" applyFill="1" applyBorder="1"/>
    <xf numFmtId="3" fontId="0" fillId="14" borderId="17" xfId="0" applyNumberFormat="1" applyFill="1" applyBorder="1"/>
    <xf numFmtId="0" fontId="2" fillId="14" borderId="24" xfId="0" applyFont="1" applyFill="1" applyBorder="1"/>
    <xf numFmtId="3" fontId="0" fillId="14" borderId="28" xfId="0" applyNumberFormat="1" applyFill="1" applyBorder="1"/>
    <xf numFmtId="3" fontId="2" fillId="14" borderId="28" xfId="0" applyNumberFormat="1" applyFont="1" applyFill="1" applyBorder="1"/>
    <xf numFmtId="3" fontId="2" fillId="8" borderId="28" xfId="0" applyNumberFormat="1" applyFont="1" applyFill="1" applyBorder="1"/>
    <xf numFmtId="0" fontId="0" fillId="10" borderId="21" xfId="0" applyFill="1" applyBorder="1" applyAlignment="1">
      <alignment vertical="center"/>
    </xf>
    <xf numFmtId="3" fontId="0" fillId="10" borderId="22" xfId="0" applyNumberFormat="1" applyFill="1" applyBorder="1" applyAlignment="1">
      <alignment vertical="center"/>
    </xf>
    <xf numFmtId="3" fontId="0" fillId="5" borderId="26" xfId="0" applyNumberFormat="1" applyFill="1" applyBorder="1"/>
    <xf numFmtId="0" fontId="2" fillId="0" borderId="1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14" fillId="9" borderId="6" xfId="0" applyNumberFormat="1" applyFont="1" applyFill="1" applyBorder="1"/>
    <xf numFmtId="44" fontId="14" fillId="9" borderId="8" xfId="0" applyNumberFormat="1" applyFont="1" applyFill="1" applyBorder="1"/>
    <xf numFmtId="44" fontId="14" fillId="9" borderId="7" xfId="0" applyNumberFormat="1" applyFont="1" applyFill="1" applyBorder="1"/>
    <xf numFmtId="3" fontId="10" fillId="0" borderId="0" xfId="0" applyNumberFormat="1" applyFont="1" applyFill="1" applyBorder="1"/>
    <xf numFmtId="3" fontId="0" fillId="0" borderId="14" xfId="0" applyNumberFormat="1" applyFill="1" applyBorder="1"/>
    <xf numFmtId="3" fontId="2" fillId="0" borderId="14" xfId="0" applyNumberFormat="1" applyFont="1" applyFill="1" applyBorder="1"/>
    <xf numFmtId="0" fontId="7" fillId="4" borderId="14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3" xfId="0" applyNumberFormat="1" applyBorder="1"/>
    <xf numFmtId="49" fontId="2" fillId="0" borderId="8" xfId="0" applyNumberFormat="1" applyFont="1" applyBorder="1"/>
    <xf numFmtId="49" fontId="0" fillId="0" borderId="15" xfId="0" applyNumberFormat="1" applyBorder="1"/>
    <xf numFmtId="49" fontId="0" fillId="0" borderId="17" xfId="0" applyNumberFormat="1" applyBorder="1"/>
    <xf numFmtId="49" fontId="0" fillId="0" borderId="8" xfId="0" applyNumberFormat="1" applyBorder="1"/>
    <xf numFmtId="3" fontId="7" fillId="0" borderId="8" xfId="0" applyNumberFormat="1" applyFont="1" applyFill="1" applyBorder="1"/>
    <xf numFmtId="3" fontId="6" fillId="4" borderId="1" xfId="0" applyNumberFormat="1" applyFont="1" applyFill="1" applyBorder="1"/>
    <xf numFmtId="3" fontId="6" fillId="4" borderId="3" xfId="0" applyNumberFormat="1" applyFont="1" applyFill="1" applyBorder="1"/>
    <xf numFmtId="3" fontId="11" fillId="4" borderId="3" xfId="0" applyNumberFormat="1" applyFont="1" applyFill="1" applyBorder="1"/>
    <xf numFmtId="3" fontId="11" fillId="4" borderId="4" xfId="0" applyNumberFormat="1" applyFont="1" applyFill="1" applyBorder="1"/>
    <xf numFmtId="3" fontId="6" fillId="4" borderId="4" xfId="0" applyNumberFormat="1" applyFont="1" applyFill="1" applyBorder="1"/>
    <xf numFmtId="0" fontId="7" fillId="4" borderId="6" xfId="0" applyFont="1" applyFill="1" applyBorder="1" applyAlignment="1">
      <alignment horizontal="center" vertical="center" wrapText="1"/>
    </xf>
    <xf numFmtId="3" fontId="6" fillId="4" borderId="36" xfId="0" applyNumberFormat="1" applyFont="1" applyFill="1" applyBorder="1"/>
    <xf numFmtId="3" fontId="6" fillId="4" borderId="6" xfId="0" applyNumberFormat="1" applyFont="1" applyFill="1" applyBorder="1"/>
    <xf numFmtId="3" fontId="2" fillId="4" borderId="6" xfId="0" applyNumberFormat="1" applyFont="1" applyFill="1" applyBorder="1"/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9" borderId="14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</cellXfs>
  <cellStyles count="6">
    <cellStyle name="Normální" xfId="0" builtinId="0"/>
    <cellStyle name="Normální 2" xfId="2"/>
    <cellStyle name="Normální 2 3" xfId="3"/>
    <cellStyle name="Normální 3" xfId="4"/>
    <cellStyle name="Normální 3 2" xfId="5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pkoval/AppData/Local/Temp/D&#283;k_2016/Rozpo&#269;et_d&#283;kan&#225;t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&#225;ln&#237;_pl&#225;ny_d&#283;k_2018/Fin&#225;ln&#237;_pl&#225;ny_d&#283;k_2018/Fin&#225;ln&#237;_pl&#225;ny_d&#283;k_2018/3740_final/3740_11_komp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1 (2)"/>
      <sheetName val="FINAL"/>
      <sheetName val="FINAL_PLAN"/>
      <sheetName val="Souhrn_11_30"/>
      <sheetName val="Souhrn_19"/>
      <sheetName val="3900_2014"/>
      <sheetName val="3900_2014 rez_děkan"/>
      <sheetName val="3900_2014 rez_Dvořák"/>
      <sheetName val="3900_2014 rez_Kubínek"/>
      <sheetName val="3900_2014 rez_Molnár"/>
      <sheetName val="3900_2014 rez_Hradil"/>
      <sheetName val="3901_2014"/>
      <sheetName val="3903_2014"/>
      <sheetName val="3904_2014"/>
      <sheetName val="3905_2014"/>
      <sheetName val="3906_2014"/>
      <sheetName val="3907_2014"/>
      <sheetName val="3908_2014"/>
      <sheetName val="3911_2014"/>
      <sheetName val="3912_2014"/>
      <sheetName val="3913_2014"/>
      <sheetName val="3914_2014"/>
      <sheetName val="3915_2014"/>
      <sheetName val="3916_2014"/>
      <sheetName val="3917_2014"/>
      <sheetName val="3918_2014"/>
      <sheetName val="3950_2014"/>
      <sheetName val="3960_2014"/>
      <sheetName val="3210_2014"/>
      <sheetName val="FINAL_PLAN_CERP"/>
      <sheetName val="k přidání"/>
    </sheetNames>
    <sheetDataSet>
      <sheetData sheetId="0"/>
      <sheetData sheetId="1"/>
      <sheetData sheetId="2"/>
      <sheetData sheetId="3"/>
      <sheetData sheetId="4">
        <row r="10">
          <cell r="B10">
            <v>3900</v>
          </cell>
        </row>
        <row r="11">
          <cell r="B11">
            <v>3901</v>
          </cell>
        </row>
        <row r="12">
          <cell r="B12">
            <v>3903</v>
          </cell>
        </row>
        <row r="13">
          <cell r="B13">
            <v>3904</v>
          </cell>
        </row>
        <row r="14">
          <cell r="B14">
            <v>3905</v>
          </cell>
        </row>
        <row r="15">
          <cell r="B15">
            <v>3906</v>
          </cell>
        </row>
        <row r="16">
          <cell r="B16">
            <v>3907</v>
          </cell>
        </row>
        <row r="17">
          <cell r="B17">
            <v>3908</v>
          </cell>
        </row>
        <row r="22">
          <cell r="B22">
            <v>3912</v>
          </cell>
        </row>
        <row r="24">
          <cell r="B24">
            <v>3915</v>
          </cell>
        </row>
        <row r="26">
          <cell r="B26">
            <v>3917</v>
          </cell>
        </row>
        <row r="27">
          <cell r="B27">
            <v>3918</v>
          </cell>
        </row>
        <row r="28">
          <cell r="B28">
            <v>3960</v>
          </cell>
        </row>
        <row r="29">
          <cell r="B29">
            <v>3210</v>
          </cell>
        </row>
        <row r="41">
          <cell r="B41">
            <v>3911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 2018"/>
      <sheetName val="podrobná tabulka"/>
      <sheetName val="ON"/>
    </sheetNames>
    <sheetDataSet>
      <sheetData sheetId="0" refreshError="1"/>
      <sheetData sheetId="1">
        <row r="13">
          <cell r="O13">
            <v>2321121.54</v>
          </cell>
        </row>
        <row r="23">
          <cell r="O23">
            <v>140000</v>
          </cell>
        </row>
        <row r="24">
          <cell r="O24">
            <v>896456.58566799993</v>
          </cell>
        </row>
        <row r="26">
          <cell r="O26">
            <v>650000</v>
          </cell>
        </row>
        <row r="28">
          <cell r="O28">
            <v>150000</v>
          </cell>
        </row>
        <row r="29">
          <cell r="O29">
            <v>51630</v>
          </cell>
        </row>
        <row r="34">
          <cell r="O34">
            <v>115640</v>
          </cell>
        </row>
        <row r="36">
          <cell r="O36">
            <v>0</v>
          </cell>
        </row>
        <row r="44">
          <cell r="O44">
            <v>28000</v>
          </cell>
        </row>
        <row r="46">
          <cell r="O46">
            <v>31500</v>
          </cell>
        </row>
        <row r="49">
          <cell r="O49">
            <v>150418</v>
          </cell>
        </row>
        <row r="54">
          <cell r="O54">
            <v>159868.27000000002</v>
          </cell>
        </row>
        <row r="59">
          <cell r="O59">
            <v>40000</v>
          </cell>
        </row>
        <row r="63">
          <cell r="O63">
            <v>20000</v>
          </cell>
        </row>
        <row r="66">
          <cell r="O66">
            <v>18770.759999999998</v>
          </cell>
        </row>
        <row r="67">
          <cell r="O67">
            <v>5000</v>
          </cell>
        </row>
        <row r="68">
          <cell r="O68">
            <v>1380</v>
          </cell>
        </row>
        <row r="69">
          <cell r="O69">
            <v>159155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5"/>
  <sheetViews>
    <sheetView workbookViewId="0">
      <selection activeCell="A36" sqref="A36"/>
    </sheetView>
  </sheetViews>
  <sheetFormatPr defaultRowHeight="15" x14ac:dyDescent="0.25"/>
  <cols>
    <col min="2" max="2" width="46.5703125" customWidth="1"/>
    <col min="3" max="3" width="8" customWidth="1"/>
    <col min="4" max="5" width="17" customWidth="1"/>
    <col min="6" max="6" width="14.28515625" customWidth="1"/>
    <col min="7" max="7" width="16.140625" customWidth="1"/>
    <col min="8" max="8" width="14.28515625" customWidth="1"/>
    <col min="9" max="9" width="17" customWidth="1"/>
    <col min="10" max="10" width="14.28515625" customWidth="1"/>
    <col min="11" max="11" width="17.7109375" customWidth="1"/>
    <col min="12" max="13" width="11.28515625" style="4" bestFit="1" customWidth="1"/>
    <col min="14" max="15" width="15" style="4" bestFit="1" customWidth="1"/>
    <col min="16" max="16" width="17.28515625" customWidth="1"/>
    <col min="17" max="17" width="16" customWidth="1"/>
    <col min="18" max="18" width="16.140625" customWidth="1"/>
    <col min="19" max="19" width="14.5703125" customWidth="1"/>
    <col min="20" max="20" width="8" customWidth="1"/>
    <col min="21" max="21" width="7.42578125" customWidth="1"/>
    <col min="22" max="22" width="15.140625" customWidth="1"/>
    <col min="25" max="25" width="16" bestFit="1" customWidth="1"/>
    <col min="26" max="26" width="15.140625" customWidth="1"/>
  </cols>
  <sheetData>
    <row r="1" spans="2:16" ht="21" x14ac:dyDescent="0.35">
      <c r="B1" s="53" t="s">
        <v>39</v>
      </c>
      <c r="C1" s="53"/>
      <c r="D1" s="53"/>
      <c r="E1" s="53"/>
    </row>
    <row r="2" spans="2:16" ht="21" x14ac:dyDescent="0.35">
      <c r="B2" s="53" t="s">
        <v>42</v>
      </c>
      <c r="C2" s="53"/>
      <c r="D2" s="53"/>
      <c r="E2" s="53"/>
    </row>
    <row r="3" spans="2:16" ht="21" x14ac:dyDescent="0.4">
      <c r="B3" s="53"/>
      <c r="C3" s="53"/>
      <c r="D3" s="53"/>
      <c r="E3" s="53"/>
    </row>
    <row r="4" spans="2:16" ht="38.25" thickBot="1" x14ac:dyDescent="0.3">
      <c r="B4" s="45" t="s">
        <v>36</v>
      </c>
      <c r="D4" s="25" t="s">
        <v>0</v>
      </c>
      <c r="E4" s="2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28" t="s">
        <v>13</v>
      </c>
      <c r="K4" s="28" t="s">
        <v>12</v>
      </c>
      <c r="L4" s="47"/>
      <c r="M4" s="47"/>
      <c r="N4" s="48"/>
      <c r="O4" s="48"/>
    </row>
    <row r="5" spans="2:16" x14ac:dyDescent="0.25">
      <c r="B5" s="4" t="s">
        <v>6</v>
      </c>
      <c r="C5" s="26">
        <f>[1]Souhrn_11_30!B10</f>
        <v>3900</v>
      </c>
      <c r="D5" s="22">
        <v>8317801</v>
      </c>
      <c r="E5" s="23">
        <v>274085</v>
      </c>
      <c r="F5" s="23">
        <v>40634</v>
      </c>
      <c r="G5" s="52">
        <v>0</v>
      </c>
      <c r="H5" s="23">
        <v>333</v>
      </c>
      <c r="I5" s="23">
        <v>903781</v>
      </c>
      <c r="J5" s="37">
        <v>72312</v>
      </c>
      <c r="K5" s="29">
        <f>SUM(D5:J5)</f>
        <v>9608946</v>
      </c>
      <c r="L5" s="49"/>
      <c r="M5" s="49"/>
      <c r="N5" s="2"/>
      <c r="O5" s="2"/>
      <c r="P5" s="3"/>
    </row>
    <row r="6" spans="2:16" x14ac:dyDescent="0.25">
      <c r="B6" t="s">
        <v>14</v>
      </c>
      <c r="C6" s="26">
        <f>[1]Souhrn_11_30!B11</f>
        <v>3901</v>
      </c>
      <c r="D6" s="24">
        <v>3556046</v>
      </c>
      <c r="E6" s="11">
        <v>22330</v>
      </c>
      <c r="F6" s="11">
        <v>0</v>
      </c>
      <c r="G6" s="11">
        <v>0</v>
      </c>
      <c r="H6" s="11">
        <v>2327</v>
      </c>
      <c r="I6" s="11">
        <v>6594</v>
      </c>
      <c r="J6" s="34"/>
      <c r="K6" s="29">
        <f t="shared" ref="K6:K23" si="0">SUM(D6:J6)</f>
        <v>3587297</v>
      </c>
      <c r="L6" s="49"/>
      <c r="M6" s="49"/>
      <c r="N6" s="2"/>
      <c r="O6" s="2"/>
      <c r="P6" s="3"/>
    </row>
    <row r="7" spans="2:16" x14ac:dyDescent="0.25">
      <c r="B7" t="s">
        <v>15</v>
      </c>
      <c r="C7" s="26">
        <f>[1]Souhrn_11_30!B12</f>
        <v>3903</v>
      </c>
      <c r="D7" s="24">
        <v>3270330</v>
      </c>
      <c r="E7" s="11">
        <v>49519</v>
      </c>
      <c r="F7" s="11">
        <v>700</v>
      </c>
      <c r="G7" s="11">
        <v>0</v>
      </c>
      <c r="H7" s="11">
        <v>2117</v>
      </c>
      <c r="I7" s="11">
        <v>39044</v>
      </c>
      <c r="J7" s="34"/>
      <c r="K7" s="29">
        <f t="shared" si="0"/>
        <v>3361710</v>
      </c>
      <c r="L7" s="49"/>
      <c r="M7" s="49"/>
      <c r="N7" s="2"/>
      <c r="O7" s="2"/>
      <c r="P7" s="3"/>
    </row>
    <row r="8" spans="2:16" x14ac:dyDescent="0.25">
      <c r="B8" t="s">
        <v>16</v>
      </c>
      <c r="C8" s="26">
        <f>[1]Souhrn_11_30!B13</f>
        <v>3904</v>
      </c>
      <c r="D8" s="24">
        <v>618783</v>
      </c>
      <c r="E8" s="11">
        <v>24717</v>
      </c>
      <c r="F8" s="11">
        <v>1172</v>
      </c>
      <c r="G8" s="11">
        <v>0</v>
      </c>
      <c r="H8" s="11">
        <v>2945</v>
      </c>
      <c r="I8" s="11">
        <v>12233</v>
      </c>
      <c r="J8" s="34"/>
      <c r="K8" s="29">
        <f t="shared" si="0"/>
        <v>659850</v>
      </c>
      <c r="L8" s="49"/>
      <c r="M8" s="49"/>
      <c r="N8" s="2"/>
      <c r="O8" s="2"/>
      <c r="P8" s="3"/>
    </row>
    <row r="9" spans="2:16" x14ac:dyDescent="0.25">
      <c r="B9" t="s">
        <v>17</v>
      </c>
      <c r="C9" s="26">
        <f>[1]Souhrn_11_30!B14</f>
        <v>3905</v>
      </c>
      <c r="D9" s="24">
        <v>1175969</v>
      </c>
      <c r="E9" s="11">
        <v>12711</v>
      </c>
      <c r="F9" s="11">
        <v>9804</v>
      </c>
      <c r="G9" s="11">
        <v>0</v>
      </c>
      <c r="H9" s="11">
        <v>2174</v>
      </c>
      <c r="I9" s="11">
        <v>4365</v>
      </c>
      <c r="J9" s="34"/>
      <c r="K9" s="29">
        <f t="shared" si="0"/>
        <v>1205023</v>
      </c>
      <c r="L9" s="49"/>
      <c r="M9" s="49"/>
      <c r="N9" s="2"/>
      <c r="O9" s="2"/>
      <c r="P9" s="3"/>
    </row>
    <row r="10" spans="2:16" x14ac:dyDescent="0.25">
      <c r="B10" t="s">
        <v>18</v>
      </c>
      <c r="C10" s="26">
        <f>[1]Souhrn_11_30!B15</f>
        <v>3906</v>
      </c>
      <c r="D10" s="24">
        <v>1290889</v>
      </c>
      <c r="E10" s="11">
        <v>129087</v>
      </c>
      <c r="F10" s="11">
        <v>8221</v>
      </c>
      <c r="G10" s="11">
        <v>0</v>
      </c>
      <c r="H10" s="11">
        <v>665</v>
      </c>
      <c r="I10" s="11">
        <v>216526</v>
      </c>
      <c r="J10" s="34"/>
      <c r="K10" s="29">
        <f t="shared" si="0"/>
        <v>1645388</v>
      </c>
      <c r="L10" s="49"/>
      <c r="M10" s="49"/>
      <c r="N10" s="2"/>
      <c r="O10" s="2"/>
      <c r="P10" s="3"/>
    </row>
    <row r="11" spans="2:16" x14ac:dyDescent="0.25">
      <c r="B11" s="4" t="s">
        <v>19</v>
      </c>
      <c r="C11" s="26">
        <f>[1]Souhrn_11_30!B16</f>
        <v>3907</v>
      </c>
      <c r="D11" s="24">
        <v>4470761</v>
      </c>
      <c r="E11" s="11">
        <v>249991</v>
      </c>
      <c r="F11" s="11">
        <v>5555</v>
      </c>
      <c r="G11" s="11">
        <v>0</v>
      </c>
      <c r="H11" s="11">
        <v>14869</v>
      </c>
      <c r="I11" s="11">
        <v>68804</v>
      </c>
      <c r="J11" s="34"/>
      <c r="K11" s="29">
        <f t="shared" si="0"/>
        <v>4809980</v>
      </c>
      <c r="L11" s="49"/>
      <c r="M11" s="49"/>
      <c r="N11" s="2"/>
      <c r="O11" s="2"/>
      <c r="P11" s="3"/>
    </row>
    <row r="12" spans="2:16" x14ac:dyDescent="0.25">
      <c r="B12" t="s">
        <v>20</v>
      </c>
      <c r="C12" s="26">
        <f>[1]Souhrn_11_30!B17</f>
        <v>3908</v>
      </c>
      <c r="D12" s="24">
        <v>2666795</v>
      </c>
      <c r="E12" s="11">
        <v>17277</v>
      </c>
      <c r="F12" s="11">
        <v>4629</v>
      </c>
      <c r="G12" s="11">
        <v>0</v>
      </c>
      <c r="H12" s="11">
        <v>1330</v>
      </c>
      <c r="I12" s="11">
        <v>210512</v>
      </c>
      <c r="J12" s="34"/>
      <c r="K12" s="29">
        <f t="shared" si="0"/>
        <v>2900543</v>
      </c>
      <c r="L12" s="49"/>
      <c r="M12" s="49"/>
      <c r="N12" s="2"/>
      <c r="O12" s="2"/>
      <c r="P12" s="3"/>
    </row>
    <row r="13" spans="2:16" x14ac:dyDescent="0.25">
      <c r="B13" s="1" t="s">
        <v>21</v>
      </c>
      <c r="C13" s="26">
        <f>[1]Souhrn_11_30!B41</f>
        <v>3911</v>
      </c>
      <c r="D13" s="24">
        <v>10255009</v>
      </c>
      <c r="E13" s="11">
        <v>1936063</v>
      </c>
      <c r="F13" s="11">
        <v>2035</v>
      </c>
      <c r="G13" s="11">
        <v>0</v>
      </c>
      <c r="H13" s="11">
        <v>1822207</v>
      </c>
      <c r="I13" s="11">
        <v>1917377</v>
      </c>
      <c r="J13" s="34">
        <v>677373</v>
      </c>
      <c r="K13" s="29">
        <f t="shared" si="0"/>
        <v>16610064</v>
      </c>
      <c r="L13" s="49"/>
      <c r="M13" s="49"/>
      <c r="N13" s="2"/>
      <c r="O13" s="2"/>
      <c r="P13" s="3"/>
    </row>
    <row r="14" spans="2:16" ht="14.45" x14ac:dyDescent="0.3">
      <c r="B14" s="1" t="s">
        <v>31</v>
      </c>
      <c r="C14" s="26">
        <v>3921</v>
      </c>
      <c r="D14" s="24">
        <v>0</v>
      </c>
      <c r="E14" s="11">
        <v>0</v>
      </c>
      <c r="F14" s="11">
        <v>0</v>
      </c>
      <c r="G14" s="29">
        <v>3782530</v>
      </c>
      <c r="H14" s="11">
        <v>0</v>
      </c>
      <c r="I14" s="11">
        <v>0</v>
      </c>
      <c r="J14" s="34"/>
      <c r="K14" s="29">
        <f t="shared" si="0"/>
        <v>3782530</v>
      </c>
      <c r="L14" s="49"/>
      <c r="M14" s="49"/>
      <c r="N14" s="2"/>
      <c r="O14" s="2"/>
      <c r="P14" s="3"/>
    </row>
    <row r="15" spans="2:16" ht="14.45" x14ac:dyDescent="0.3">
      <c r="B15" s="1" t="s">
        <v>34</v>
      </c>
      <c r="C15" s="26">
        <v>3940</v>
      </c>
      <c r="D15" s="24">
        <v>0</v>
      </c>
      <c r="E15" s="11">
        <v>0</v>
      </c>
      <c r="F15" s="11">
        <v>0</v>
      </c>
      <c r="G15" s="11">
        <v>1133162</v>
      </c>
      <c r="H15" s="11">
        <v>0</v>
      </c>
      <c r="I15" s="11">
        <v>0</v>
      </c>
      <c r="J15" s="34"/>
      <c r="K15" s="29">
        <f t="shared" si="0"/>
        <v>1133162</v>
      </c>
      <c r="L15" s="49"/>
      <c r="M15" s="49"/>
      <c r="N15" s="2"/>
      <c r="O15" s="2"/>
      <c r="P15" s="3"/>
    </row>
    <row r="16" spans="2:16" x14ac:dyDescent="0.25">
      <c r="B16" s="1" t="s">
        <v>33</v>
      </c>
      <c r="C16" s="26">
        <f>[1]Souhrn_11_30!B22</f>
        <v>3912</v>
      </c>
      <c r="D16" s="24">
        <v>6893988</v>
      </c>
      <c r="E16" s="11">
        <v>1012075</v>
      </c>
      <c r="F16" s="11">
        <v>0</v>
      </c>
      <c r="G16" s="11">
        <v>0</v>
      </c>
      <c r="H16" s="11">
        <v>689998</v>
      </c>
      <c r="I16" s="11">
        <v>1353518</v>
      </c>
      <c r="J16" s="34">
        <v>273011</v>
      </c>
      <c r="K16" s="29">
        <f t="shared" si="0"/>
        <v>10222590</v>
      </c>
      <c r="L16" s="49"/>
      <c r="M16" s="49"/>
      <c r="N16" s="2"/>
      <c r="O16" s="2"/>
      <c r="P16" s="3"/>
    </row>
    <row r="17" spans="2:22" ht="14.45" x14ac:dyDescent="0.3">
      <c r="B17" s="1" t="s">
        <v>32</v>
      </c>
      <c r="C17" s="26">
        <v>3922</v>
      </c>
      <c r="D17" s="24">
        <v>0</v>
      </c>
      <c r="E17" s="11">
        <v>0</v>
      </c>
      <c r="F17" s="11">
        <v>0</v>
      </c>
      <c r="G17" s="29">
        <v>2809111</v>
      </c>
      <c r="H17" s="11">
        <v>0</v>
      </c>
      <c r="I17" s="11">
        <v>0</v>
      </c>
      <c r="J17" s="34"/>
      <c r="K17" s="29">
        <f t="shared" si="0"/>
        <v>2809111</v>
      </c>
      <c r="L17" s="49"/>
      <c r="M17" s="49"/>
      <c r="N17" s="2"/>
      <c r="O17" s="2"/>
      <c r="P17" s="3"/>
    </row>
    <row r="18" spans="2:22" x14ac:dyDescent="0.25">
      <c r="B18" s="4" t="s">
        <v>22</v>
      </c>
      <c r="C18" s="26">
        <f>[1]Souhrn_11_30!B24</f>
        <v>3915</v>
      </c>
      <c r="D18" s="24">
        <v>652453</v>
      </c>
      <c r="E18" s="11">
        <v>39882</v>
      </c>
      <c r="F18" s="11">
        <v>3990</v>
      </c>
      <c r="G18" s="11">
        <v>63668</v>
      </c>
      <c r="H18" s="11">
        <v>2034</v>
      </c>
      <c r="I18" s="11">
        <v>46817</v>
      </c>
      <c r="J18" s="34"/>
      <c r="K18" s="29">
        <f t="shared" si="0"/>
        <v>808844</v>
      </c>
      <c r="L18" s="49"/>
      <c r="M18" s="49"/>
      <c r="N18" s="2"/>
      <c r="O18" s="2"/>
      <c r="P18" s="3"/>
    </row>
    <row r="19" spans="2:22" x14ac:dyDescent="0.25">
      <c r="B19" t="s">
        <v>23</v>
      </c>
      <c r="C19" s="26">
        <f>[1]Souhrn_11_30!B26</f>
        <v>3917</v>
      </c>
      <c r="D19" s="24">
        <v>23641</v>
      </c>
      <c r="E19" s="11">
        <v>12162</v>
      </c>
      <c r="F19" s="11">
        <v>0</v>
      </c>
      <c r="G19" s="11">
        <v>139306</v>
      </c>
      <c r="H19" s="11">
        <v>0</v>
      </c>
      <c r="I19" s="11">
        <v>4547</v>
      </c>
      <c r="J19" s="34"/>
      <c r="K19" s="29">
        <f t="shared" si="0"/>
        <v>179656</v>
      </c>
      <c r="L19" s="49"/>
      <c r="M19" s="49"/>
      <c r="N19" s="2"/>
      <c r="O19" s="2"/>
      <c r="P19" s="3"/>
    </row>
    <row r="20" spans="2:22" x14ac:dyDescent="0.25">
      <c r="B20" t="s">
        <v>24</v>
      </c>
      <c r="C20" s="26">
        <f>[1]Souhrn_11_30!B27</f>
        <v>3918</v>
      </c>
      <c r="D20" s="24">
        <v>954253</v>
      </c>
      <c r="E20" s="11">
        <v>93480</v>
      </c>
      <c r="F20" s="11">
        <v>960</v>
      </c>
      <c r="G20" s="11">
        <v>0</v>
      </c>
      <c r="H20" s="11">
        <v>38036</v>
      </c>
      <c r="I20" s="11">
        <v>153261</v>
      </c>
      <c r="J20" s="34">
        <v>30222</v>
      </c>
      <c r="K20" s="29">
        <f t="shared" si="0"/>
        <v>1270212</v>
      </c>
      <c r="L20" s="49"/>
      <c r="M20" s="49"/>
      <c r="N20" s="2"/>
      <c r="O20" s="2"/>
      <c r="P20" s="3"/>
    </row>
    <row r="21" spans="2:22" ht="14.45" x14ac:dyDescent="0.3">
      <c r="B21" t="s">
        <v>35</v>
      </c>
      <c r="C21" s="26">
        <v>3740</v>
      </c>
      <c r="D21" s="24">
        <v>3867431</v>
      </c>
      <c r="E21" s="11">
        <v>248977</v>
      </c>
      <c r="F21" s="11">
        <v>62240</v>
      </c>
      <c r="G21" s="11">
        <v>0</v>
      </c>
      <c r="H21" s="11">
        <v>4961</v>
      </c>
      <c r="I21" s="11">
        <v>206929</v>
      </c>
      <c r="J21" s="34">
        <v>48038</v>
      </c>
      <c r="K21" s="29">
        <f t="shared" si="0"/>
        <v>4438576</v>
      </c>
      <c r="L21" s="49"/>
      <c r="M21" s="49"/>
      <c r="N21" s="2"/>
      <c r="O21" s="2"/>
      <c r="P21" s="3"/>
    </row>
    <row r="22" spans="2:22" x14ac:dyDescent="0.25">
      <c r="B22" t="s">
        <v>25</v>
      </c>
      <c r="C22" s="26">
        <f>[1]Souhrn_11_30!B28</f>
        <v>3960</v>
      </c>
      <c r="D22" s="24">
        <v>1347694</v>
      </c>
      <c r="E22" s="11">
        <v>37937</v>
      </c>
      <c r="F22" s="11">
        <v>33316</v>
      </c>
      <c r="G22" s="11">
        <v>0</v>
      </c>
      <c r="H22" s="11">
        <v>0</v>
      </c>
      <c r="I22" s="11">
        <v>6483</v>
      </c>
      <c r="J22" s="34"/>
      <c r="K22" s="29">
        <f t="shared" si="0"/>
        <v>1425430</v>
      </c>
      <c r="L22" s="49"/>
      <c r="M22" s="49"/>
      <c r="N22" s="2"/>
      <c r="O22" s="2"/>
      <c r="P22" s="3"/>
    </row>
    <row r="23" spans="2:22" ht="15.75" thickBot="1" x14ac:dyDescent="0.3">
      <c r="B23" t="s">
        <v>26</v>
      </c>
      <c r="C23" s="26">
        <f>[1]Souhrn_11_30!B29</f>
        <v>3210</v>
      </c>
      <c r="D23" s="38">
        <v>2571155</v>
      </c>
      <c r="E23" s="39">
        <v>61668</v>
      </c>
      <c r="F23" s="39">
        <v>40139</v>
      </c>
      <c r="G23" s="39">
        <v>0</v>
      </c>
      <c r="H23" s="39">
        <v>0</v>
      </c>
      <c r="I23" s="39">
        <v>78551</v>
      </c>
      <c r="J23" s="40"/>
      <c r="K23" s="29">
        <f t="shared" si="0"/>
        <v>2751513</v>
      </c>
      <c r="L23" s="49"/>
      <c r="M23" s="49"/>
      <c r="N23" s="2"/>
      <c r="O23" s="2"/>
      <c r="P23" s="3"/>
    </row>
    <row r="24" spans="2:22" x14ac:dyDescent="0.25">
      <c r="C24" s="26"/>
      <c r="D24" s="11"/>
      <c r="E24" s="11"/>
      <c r="F24" s="11"/>
      <c r="G24" s="11"/>
      <c r="H24" s="11"/>
      <c r="I24" s="11"/>
      <c r="J24" s="11"/>
      <c r="K24" s="29"/>
      <c r="L24" s="49"/>
      <c r="M24" s="49"/>
      <c r="N24" s="2"/>
      <c r="O24" s="2"/>
      <c r="P24" s="3"/>
    </row>
    <row r="25" spans="2:22" x14ac:dyDescent="0.25">
      <c r="C25" s="26"/>
      <c r="D25" s="27">
        <f t="shared" ref="D25:J25" si="1">SUM(D5:D23)</f>
        <v>51932998</v>
      </c>
      <c r="E25" s="27">
        <f t="shared" si="1"/>
        <v>4221961</v>
      </c>
      <c r="F25" s="27">
        <f t="shared" si="1"/>
        <v>213395</v>
      </c>
      <c r="G25" s="27">
        <f t="shared" si="1"/>
        <v>7927777</v>
      </c>
      <c r="H25" s="27">
        <f t="shared" si="1"/>
        <v>2583996</v>
      </c>
      <c r="I25" s="27">
        <f t="shared" si="1"/>
        <v>5229342</v>
      </c>
      <c r="J25" s="27">
        <f t="shared" si="1"/>
        <v>1100956</v>
      </c>
      <c r="K25" s="27">
        <f>SUM(D25:J25)</f>
        <v>73210425</v>
      </c>
      <c r="N25" s="7"/>
      <c r="O25" s="7"/>
    </row>
    <row r="26" spans="2:22" x14ac:dyDescent="0.25">
      <c r="D26" s="6"/>
      <c r="E26" s="5"/>
      <c r="F26" s="6"/>
      <c r="G26" s="5"/>
      <c r="H26" s="6"/>
      <c r="I26" s="5"/>
      <c r="J26" s="6"/>
      <c r="K26" s="5"/>
      <c r="L26" s="30"/>
      <c r="M26" s="7"/>
      <c r="N26" s="31"/>
      <c r="O26" s="31"/>
      <c r="P26" s="6"/>
      <c r="Q26" s="5"/>
      <c r="R26" s="7"/>
      <c r="S26" s="7"/>
      <c r="T26" s="7"/>
      <c r="U26" s="7"/>
      <c r="V26" s="7"/>
    </row>
    <row r="27" spans="2:22" ht="15.75" thickBot="1" x14ac:dyDescent="0.3">
      <c r="D27" s="6"/>
      <c r="E27" s="5"/>
      <c r="F27" s="6"/>
      <c r="G27" s="5"/>
      <c r="H27" s="6"/>
      <c r="I27" s="5"/>
      <c r="J27" s="6"/>
      <c r="K27" s="5"/>
      <c r="L27" s="30"/>
      <c r="M27" s="7"/>
      <c r="N27" s="31"/>
      <c r="O27" s="31"/>
      <c r="P27" s="6"/>
      <c r="Q27" s="5"/>
      <c r="R27" s="7"/>
      <c r="S27" s="7"/>
      <c r="T27" s="7"/>
      <c r="U27" s="7"/>
      <c r="V27" s="7"/>
    </row>
    <row r="28" spans="2:22" ht="15.75" thickBot="1" x14ac:dyDescent="0.3">
      <c r="B28" s="8" t="s">
        <v>40</v>
      </c>
      <c r="C28" s="9"/>
      <c r="D28" s="10"/>
      <c r="F28" s="12" t="s">
        <v>37</v>
      </c>
      <c r="I28" s="13" t="s">
        <v>38</v>
      </c>
      <c r="R28" s="3"/>
      <c r="S28" s="3"/>
    </row>
    <row r="29" spans="2:22" x14ac:dyDescent="0.25">
      <c r="B29" s="14" t="s">
        <v>7</v>
      </c>
      <c r="C29" s="33"/>
      <c r="D29" s="35">
        <v>600000</v>
      </c>
      <c r="F29" s="32" t="s">
        <v>27</v>
      </c>
      <c r="G29" s="51">
        <v>73210425</v>
      </c>
      <c r="I29" s="32" t="s">
        <v>28</v>
      </c>
      <c r="J29" s="42">
        <f>73837000</f>
        <v>73837000</v>
      </c>
      <c r="K29" s="29">
        <v>2885000</v>
      </c>
      <c r="L29" s="4" t="s">
        <v>43</v>
      </c>
      <c r="Q29" s="15"/>
      <c r="R29" s="3"/>
    </row>
    <row r="30" spans="2:22" x14ac:dyDescent="0.25">
      <c r="B30" s="16" t="s">
        <v>8</v>
      </c>
      <c r="C30" s="18"/>
      <c r="D30" s="35">
        <v>92069.04</v>
      </c>
      <c r="E30" s="3"/>
      <c r="F30" s="17" t="s">
        <v>41</v>
      </c>
      <c r="G30" s="44">
        <v>2975492</v>
      </c>
      <c r="I30" s="46" t="s">
        <v>29</v>
      </c>
      <c r="J30" s="44">
        <v>11926480.869999999</v>
      </c>
      <c r="R30" s="18"/>
      <c r="S30" s="3"/>
    </row>
    <row r="31" spans="2:22" ht="15.75" thickBot="1" x14ac:dyDescent="0.3">
      <c r="B31" s="16" t="s">
        <v>9</v>
      </c>
      <c r="C31" s="26"/>
      <c r="D31" s="35">
        <v>2283422.79</v>
      </c>
      <c r="F31" s="17" t="s">
        <v>30</v>
      </c>
      <c r="G31" s="57">
        <v>2077778</v>
      </c>
      <c r="H31" t="s">
        <v>43</v>
      </c>
      <c r="I31" s="17"/>
      <c r="J31" s="41"/>
      <c r="R31" s="3"/>
    </row>
    <row r="32" spans="2:22" ht="15.75" thickBot="1" x14ac:dyDescent="0.3">
      <c r="B32" s="19" t="s">
        <v>10</v>
      </c>
      <c r="C32" s="20"/>
      <c r="D32" s="36">
        <f>SUM(D29:D31)</f>
        <v>2975491.83</v>
      </c>
      <c r="F32" s="21" t="s">
        <v>11</v>
      </c>
      <c r="G32" s="43">
        <f>G29+G30+G31</f>
        <v>78263695</v>
      </c>
      <c r="I32" s="21" t="s">
        <v>11</v>
      </c>
      <c r="J32" s="43">
        <f>J29+J30</f>
        <v>85763480.870000005</v>
      </c>
      <c r="K32" s="50"/>
      <c r="R32" s="3"/>
    </row>
    <row r="33" spans="5:18" ht="111" customHeight="1" x14ac:dyDescent="0.25">
      <c r="E33" s="56" t="s">
        <v>43</v>
      </c>
      <c r="F33" s="562" t="s">
        <v>44</v>
      </c>
      <c r="G33" s="562"/>
      <c r="H33" s="58" t="s">
        <v>43</v>
      </c>
      <c r="I33" s="562" t="s">
        <v>45</v>
      </c>
      <c r="J33" s="562"/>
      <c r="K33" s="562"/>
      <c r="R33" s="3"/>
    </row>
    <row r="34" spans="5:18" x14ac:dyDescent="0.25">
      <c r="F34" s="54"/>
      <c r="G34" s="55"/>
      <c r="J34" s="50"/>
      <c r="R34" s="3"/>
    </row>
    <row r="35" spans="5:18" x14ac:dyDescent="0.25">
      <c r="G35" s="59"/>
      <c r="J35" s="50"/>
    </row>
  </sheetData>
  <mergeCells count="2">
    <mergeCell ref="F33:G33"/>
    <mergeCell ref="I33:K33"/>
  </mergeCells>
  <pageMargins left="0.7" right="0.7" top="0.75" bottom="0.75" header="0.3" footer="0.3"/>
  <pageSetup paperSize="9" scale="68" orientation="landscape" verticalDpi="0" r:id="rId1"/>
  <ignoredErrors>
    <ignoredError sqref="K14:K15 K17 K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40" workbookViewId="0">
      <selection activeCell="C66" sqref="C66"/>
    </sheetView>
  </sheetViews>
  <sheetFormatPr defaultRowHeight="15" x14ac:dyDescent="0.25"/>
  <cols>
    <col min="1" max="1" width="37.7109375" bestFit="1" customWidth="1"/>
    <col min="2" max="2" width="19.42578125" customWidth="1"/>
    <col min="3" max="3" width="24" customWidth="1"/>
    <col min="4" max="4" width="18.42578125" customWidth="1"/>
    <col min="5" max="5" width="10.85546875" customWidth="1"/>
  </cols>
  <sheetData>
    <row r="1" spans="1:6" ht="24" thickBot="1" x14ac:dyDescent="0.4">
      <c r="A1" s="126" t="s">
        <v>116</v>
      </c>
      <c r="B1" s="127"/>
      <c r="C1" s="127" t="s">
        <v>157</v>
      </c>
    </row>
    <row r="2" spans="1:6" ht="19.5" thickBot="1" x14ac:dyDescent="0.35">
      <c r="A2" s="212" t="s">
        <v>158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159</v>
      </c>
    </row>
    <row r="4" spans="1:6" ht="14.45" x14ac:dyDescent="0.3">
      <c r="A4" s="134" t="s">
        <v>122</v>
      </c>
      <c r="B4" s="135"/>
      <c r="C4" s="135">
        <v>473041</v>
      </c>
      <c r="D4" s="137">
        <v>855600</v>
      </c>
    </row>
    <row r="5" spans="1:6" x14ac:dyDescent="0.25">
      <c r="A5" s="138" t="s">
        <v>123</v>
      </c>
      <c r="B5" s="139"/>
      <c r="C5" s="139">
        <v>74500</v>
      </c>
      <c r="D5" s="141">
        <v>142500</v>
      </c>
    </row>
    <row r="6" spans="1:6" x14ac:dyDescent="0.25">
      <c r="A6" s="138" t="s">
        <v>124</v>
      </c>
      <c r="B6" s="139"/>
      <c r="C6" s="139">
        <v>191790.53</v>
      </c>
      <c r="D6" s="141">
        <v>363508</v>
      </c>
      <c r="F6" s="50"/>
    </row>
    <row r="7" spans="1:6" x14ac:dyDescent="0.25">
      <c r="A7" s="138" t="s">
        <v>125</v>
      </c>
      <c r="B7" s="139"/>
      <c r="C7" s="139">
        <v>0</v>
      </c>
      <c r="D7" s="142">
        <v>0</v>
      </c>
    </row>
    <row r="8" spans="1:6" x14ac:dyDescent="0.25">
      <c r="A8" s="138" t="s">
        <v>149</v>
      </c>
      <c r="B8" s="139"/>
      <c r="C8" s="139">
        <v>0</v>
      </c>
      <c r="D8" s="142">
        <v>0</v>
      </c>
    </row>
    <row r="9" spans="1:6" ht="14.45" x14ac:dyDescent="0.3">
      <c r="A9" s="138" t="s">
        <v>127</v>
      </c>
      <c r="B9" s="139"/>
      <c r="C9" s="139">
        <v>53000</v>
      </c>
      <c r="D9" s="223">
        <v>60000</v>
      </c>
    </row>
    <row r="10" spans="1:6" x14ac:dyDescent="0.25">
      <c r="A10" s="138" t="s">
        <v>128</v>
      </c>
      <c r="B10" s="139"/>
      <c r="C10" s="139">
        <v>11520</v>
      </c>
      <c r="D10" s="141">
        <v>35063</v>
      </c>
    </row>
    <row r="11" spans="1:6" x14ac:dyDescent="0.25">
      <c r="A11" s="138" t="s">
        <v>129</v>
      </c>
      <c r="B11" s="139"/>
      <c r="C11" s="139">
        <v>1076</v>
      </c>
      <c r="D11" s="141">
        <v>1100</v>
      </c>
    </row>
    <row r="12" spans="1:6" thickBot="1" x14ac:dyDescent="0.35">
      <c r="A12" s="143"/>
      <c r="B12" s="144"/>
      <c r="C12" s="144"/>
      <c r="D12" s="146"/>
    </row>
    <row r="13" spans="1:6" thickBot="1" x14ac:dyDescent="0.35">
      <c r="A13" s="148" t="s">
        <v>130</v>
      </c>
      <c r="B13" s="149">
        <v>659000</v>
      </c>
      <c r="C13" s="149">
        <f>SUM(C4:C12)</f>
        <v>804927.53</v>
      </c>
      <c r="D13" s="149">
        <f>SUM(D4:D12)</f>
        <v>1457771</v>
      </c>
      <c r="E13" s="50"/>
    </row>
    <row r="14" spans="1:6" thickBot="1" x14ac:dyDescent="0.35">
      <c r="A14" s="150"/>
      <c r="B14" s="151"/>
      <c r="C14" s="151"/>
      <c r="D14" s="152"/>
    </row>
    <row r="15" spans="1:6" ht="15.75" thickBot="1" x14ac:dyDescent="0.3">
      <c r="A15" s="153" t="s">
        <v>1</v>
      </c>
      <c r="B15" s="154"/>
      <c r="C15" s="154"/>
      <c r="D15" s="155"/>
    </row>
    <row r="16" spans="1:6" x14ac:dyDescent="0.25">
      <c r="A16" s="156" t="s">
        <v>131</v>
      </c>
      <c r="B16" s="157">
        <v>2500</v>
      </c>
      <c r="C16" s="157">
        <v>7314</v>
      </c>
      <c r="D16" s="158">
        <v>8700</v>
      </c>
    </row>
    <row r="17" spans="1:5" x14ac:dyDescent="0.25">
      <c r="A17" s="159" t="s">
        <v>132</v>
      </c>
      <c r="B17" s="160">
        <v>2500</v>
      </c>
      <c r="C17" s="160">
        <v>0</v>
      </c>
      <c r="D17" s="161">
        <v>2500</v>
      </c>
    </row>
    <row r="18" spans="1:5" ht="14.45" x14ac:dyDescent="0.3">
      <c r="A18" s="159" t="s">
        <v>133</v>
      </c>
      <c r="B18" s="160">
        <v>2500</v>
      </c>
      <c r="C18" s="160">
        <v>0</v>
      </c>
      <c r="D18" s="161">
        <v>53000</v>
      </c>
      <c r="E18" t="s">
        <v>43</v>
      </c>
    </row>
    <row r="19" spans="1:5" x14ac:dyDescent="0.25">
      <c r="A19" s="162" t="s">
        <v>134</v>
      </c>
      <c r="B19" s="163">
        <v>2500</v>
      </c>
      <c r="C19" s="163">
        <v>0</v>
      </c>
      <c r="D19" s="164">
        <v>1500</v>
      </c>
    </row>
    <row r="20" spans="1:5" thickBot="1" x14ac:dyDescent="0.35">
      <c r="A20" s="162"/>
      <c r="B20" s="163"/>
      <c r="C20" s="163"/>
      <c r="D20" s="164"/>
    </row>
    <row r="21" spans="1:5" thickBot="1" x14ac:dyDescent="0.35">
      <c r="A21" s="165" t="s">
        <v>130</v>
      </c>
      <c r="B21" s="166">
        <f>SUM(B16:B20)</f>
        <v>10000</v>
      </c>
      <c r="C21" s="166">
        <f>SUM(C16:C20)</f>
        <v>7314</v>
      </c>
      <c r="D21" s="224">
        <f>SUM(D16:D20)</f>
        <v>65700</v>
      </c>
    </row>
    <row r="22" spans="1:5" thickBot="1" x14ac:dyDescent="0.35">
      <c r="A22" s="150"/>
      <c r="B22" s="167"/>
      <c r="C22" s="167"/>
      <c r="D22" s="34"/>
    </row>
    <row r="23" spans="1:5" ht="15.75" thickBot="1" x14ac:dyDescent="0.3">
      <c r="A23" s="168" t="s">
        <v>2</v>
      </c>
      <c r="B23" s="169"/>
      <c r="C23" s="169"/>
      <c r="D23" s="170"/>
    </row>
    <row r="24" spans="1:5" x14ac:dyDescent="0.25">
      <c r="A24" s="171" t="s">
        <v>135</v>
      </c>
      <c r="B24" s="172">
        <v>5000</v>
      </c>
      <c r="C24" s="225">
        <v>2831</v>
      </c>
      <c r="D24" s="173">
        <v>10000</v>
      </c>
    </row>
    <row r="25" spans="1:5" thickBot="1" x14ac:dyDescent="0.35">
      <c r="A25" s="226"/>
      <c r="B25" s="227"/>
      <c r="C25" s="228"/>
      <c r="D25" s="227"/>
    </row>
    <row r="26" spans="1:5" thickBot="1" x14ac:dyDescent="0.35">
      <c r="A26" s="229" t="s">
        <v>130</v>
      </c>
      <c r="B26" s="230">
        <f>SUM(B24:B25)</f>
        <v>5000</v>
      </c>
      <c r="C26" s="230">
        <f>SUM(C24:C25)</f>
        <v>2831</v>
      </c>
      <c r="D26" s="231">
        <f>SUM(D24)</f>
        <v>10000</v>
      </c>
    </row>
    <row r="27" spans="1:5" thickBot="1" x14ac:dyDescent="0.35">
      <c r="A27" s="150"/>
      <c r="B27" s="167"/>
      <c r="C27" s="167"/>
      <c r="D27" s="34"/>
    </row>
    <row r="28" spans="1:5" ht="15.75" thickBot="1" x14ac:dyDescent="0.3">
      <c r="A28" s="176" t="s">
        <v>136</v>
      </c>
      <c r="B28" s="177"/>
      <c r="C28" s="177"/>
      <c r="D28" s="178"/>
    </row>
    <row r="29" spans="1:5" x14ac:dyDescent="0.25">
      <c r="A29" s="232" t="s">
        <v>137</v>
      </c>
      <c r="B29" s="233">
        <v>3000</v>
      </c>
      <c r="C29" s="233">
        <v>806</v>
      </c>
      <c r="D29" s="233">
        <v>1500</v>
      </c>
    </row>
    <row r="30" spans="1:5" thickBot="1" x14ac:dyDescent="0.35">
      <c r="A30" s="179"/>
      <c r="B30" s="180"/>
      <c r="C30" s="180"/>
      <c r="D30" s="181"/>
    </row>
    <row r="31" spans="1:5" thickBot="1" x14ac:dyDescent="0.35">
      <c r="A31" s="182" t="s">
        <v>130</v>
      </c>
      <c r="B31" s="183">
        <f>SUM(B29:B30)</f>
        <v>3000</v>
      </c>
      <c r="C31" s="183">
        <f>SUM(C29:C30)</f>
        <v>806</v>
      </c>
      <c r="D31" s="234">
        <f>SUM(D29)</f>
        <v>1500</v>
      </c>
    </row>
    <row r="32" spans="1:5" thickBot="1" x14ac:dyDescent="0.35">
      <c r="A32" s="150"/>
      <c r="B32" s="167"/>
      <c r="C32" s="167"/>
      <c r="D32" s="34"/>
    </row>
    <row r="33" spans="1:4" thickBot="1" x14ac:dyDescent="0.35">
      <c r="A33" s="235" t="s">
        <v>3</v>
      </c>
      <c r="B33" s="236"/>
      <c r="C33" s="236"/>
      <c r="D33" s="187">
        <v>0</v>
      </c>
    </row>
    <row r="34" spans="1:4" thickBot="1" x14ac:dyDescent="0.35">
      <c r="A34" s="237" t="s">
        <v>130</v>
      </c>
      <c r="B34" s="238"/>
      <c r="C34" s="238"/>
      <c r="D34" s="190">
        <v>0</v>
      </c>
    </row>
    <row r="35" spans="1:4" thickBot="1" x14ac:dyDescent="0.35">
      <c r="A35" s="150"/>
      <c r="B35" s="167"/>
      <c r="C35" s="167"/>
      <c r="D35" s="191"/>
    </row>
    <row r="36" spans="1:4" ht="15.75" thickBot="1" x14ac:dyDescent="0.3">
      <c r="A36" s="192" t="s">
        <v>5</v>
      </c>
      <c r="B36" s="193"/>
      <c r="C36" s="193"/>
      <c r="D36" s="239"/>
    </row>
    <row r="37" spans="1:4" x14ac:dyDescent="0.25">
      <c r="A37" s="240" t="s">
        <v>160</v>
      </c>
      <c r="B37" s="196"/>
      <c r="C37" s="196">
        <v>0</v>
      </c>
      <c r="D37" s="241">
        <v>3500</v>
      </c>
    </row>
    <row r="38" spans="1:4" ht="14.45" x14ac:dyDescent="0.3">
      <c r="A38" s="195" t="s">
        <v>138</v>
      </c>
      <c r="B38" s="196"/>
      <c r="C38" s="196">
        <v>552</v>
      </c>
      <c r="D38" s="197">
        <v>5000</v>
      </c>
    </row>
    <row r="39" spans="1:4" x14ac:dyDescent="0.25">
      <c r="A39" s="198" t="s">
        <v>139</v>
      </c>
      <c r="B39" s="199"/>
      <c r="C39" s="199">
        <v>1578</v>
      </c>
      <c r="D39" s="200">
        <v>2200</v>
      </c>
    </row>
    <row r="40" spans="1:4" ht="14.45" x14ac:dyDescent="0.3">
      <c r="A40" s="198" t="s">
        <v>140</v>
      </c>
      <c r="B40" s="199"/>
      <c r="C40" s="199">
        <v>0</v>
      </c>
      <c r="D40" s="201">
        <v>0</v>
      </c>
    </row>
    <row r="41" spans="1:4" ht="14.45" x14ac:dyDescent="0.3">
      <c r="A41" s="198" t="s">
        <v>141</v>
      </c>
      <c r="B41" s="199"/>
      <c r="C41" s="199">
        <v>0</v>
      </c>
      <c r="D41" s="201">
        <v>0</v>
      </c>
    </row>
    <row r="42" spans="1:4" x14ac:dyDescent="0.25">
      <c r="A42" s="198" t="s">
        <v>142</v>
      </c>
      <c r="B42" s="199"/>
      <c r="C42" s="199">
        <v>0</v>
      </c>
      <c r="D42" s="200">
        <v>3000</v>
      </c>
    </row>
    <row r="43" spans="1:4" x14ac:dyDescent="0.25">
      <c r="A43" s="217" t="s">
        <v>161</v>
      </c>
      <c r="B43" s="218"/>
      <c r="C43" s="218">
        <v>5561.6</v>
      </c>
      <c r="D43" s="219"/>
    </row>
    <row r="44" spans="1:4" ht="15.75" thickBot="1" x14ac:dyDescent="0.3">
      <c r="A44" s="217" t="s">
        <v>153</v>
      </c>
      <c r="B44" s="218"/>
      <c r="C44" s="218">
        <v>-6000</v>
      </c>
      <c r="D44" s="219"/>
    </row>
    <row r="45" spans="1:4" thickBot="1" x14ac:dyDescent="0.35">
      <c r="A45" s="242" t="s">
        <v>130</v>
      </c>
      <c r="B45" s="243">
        <v>10000</v>
      </c>
      <c r="C45" s="243">
        <f>SUM(C37:C44)</f>
        <v>1691.6000000000004</v>
      </c>
      <c r="D45" s="244">
        <f>SUM(D37:D44)</f>
        <v>13700</v>
      </c>
    </row>
    <row r="46" spans="1:4" thickBot="1" x14ac:dyDescent="0.35">
      <c r="A46" s="14"/>
      <c r="B46" s="204"/>
      <c r="C46" s="204"/>
      <c r="D46" s="205"/>
    </row>
    <row r="47" spans="1:4" ht="18.600000000000001" thickBot="1" x14ac:dyDescent="0.4">
      <c r="A47" s="206" t="s">
        <v>10</v>
      </c>
      <c r="B47" s="207">
        <f>B13+B21+B26+B31+B34+B45</f>
        <v>687000</v>
      </c>
      <c r="C47" s="207">
        <f>C13+C21+C26+C31+C34+C45</f>
        <v>817570.13</v>
      </c>
      <c r="D47" s="208">
        <f>D45+D34+D31+D26+D21+D13</f>
        <v>1548671</v>
      </c>
    </row>
    <row r="48" spans="1:4" ht="14.45" x14ac:dyDescent="0.3">
      <c r="A48" s="18"/>
      <c r="B48" s="18"/>
      <c r="C48" s="18"/>
      <c r="D48" s="18"/>
    </row>
    <row r="49" spans="1:4" ht="28.9" customHeight="1" x14ac:dyDescent="0.25">
      <c r="A49" s="575" t="s">
        <v>162</v>
      </c>
      <c r="B49" s="575"/>
      <c r="C49" s="575"/>
      <c r="D49" s="575"/>
    </row>
    <row r="50" spans="1:4" ht="14.45" x14ac:dyDescent="0.3">
      <c r="A50" s="18"/>
      <c r="B50" s="18"/>
      <c r="C50" s="18"/>
      <c r="D50" s="18"/>
    </row>
    <row r="51" spans="1:4" ht="34.15" customHeight="1" x14ac:dyDescent="0.25">
      <c r="A51" s="576" t="s">
        <v>163</v>
      </c>
      <c r="B51" s="576"/>
      <c r="C51" s="576"/>
      <c r="D51" s="576"/>
    </row>
    <row r="52" spans="1:4" ht="14.45" x14ac:dyDescent="0.3">
      <c r="A52" s="18"/>
      <c r="B52" s="18"/>
      <c r="C52" s="18"/>
      <c r="D52" s="18"/>
    </row>
    <row r="53" spans="1:4" ht="14.45" x14ac:dyDescent="0.3">
      <c r="A53" s="18"/>
      <c r="B53" s="18"/>
      <c r="C53" s="18"/>
      <c r="D53" s="18"/>
    </row>
  </sheetData>
  <mergeCells count="2">
    <mergeCell ref="A49:D49"/>
    <mergeCell ref="A51:D51"/>
  </mergeCells>
  <pageMargins left="0.7" right="0.7" top="0.78740157499999996" bottom="0.78740157499999996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25" workbookViewId="0">
      <selection activeCell="E49" sqref="E49"/>
    </sheetView>
  </sheetViews>
  <sheetFormatPr defaultRowHeight="15" x14ac:dyDescent="0.25"/>
  <cols>
    <col min="1" max="1" width="37.7109375" bestFit="1" customWidth="1"/>
    <col min="2" max="2" width="19.42578125" customWidth="1"/>
    <col min="3" max="4" width="21.7109375" customWidth="1"/>
    <col min="6" max="6" width="11.42578125" bestFit="1" customWidth="1"/>
  </cols>
  <sheetData>
    <row r="1" spans="1:6" ht="24" thickBot="1" x14ac:dyDescent="0.4">
      <c r="A1" s="126" t="s">
        <v>116</v>
      </c>
      <c r="B1" s="127"/>
      <c r="C1" s="127"/>
    </row>
    <row r="2" spans="1:6" ht="19.5" thickBot="1" x14ac:dyDescent="0.35">
      <c r="A2" s="128" t="s">
        <v>285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286</v>
      </c>
    </row>
    <row r="4" spans="1:6" ht="14.45" x14ac:dyDescent="0.3">
      <c r="A4" s="134" t="s">
        <v>122</v>
      </c>
      <c r="B4" s="135"/>
      <c r="C4" s="136">
        <v>555099</v>
      </c>
      <c r="D4" s="137">
        <v>698355</v>
      </c>
    </row>
    <row r="5" spans="1:6" x14ac:dyDescent="0.25">
      <c r="A5" s="138" t="s">
        <v>123</v>
      </c>
      <c r="B5" s="139"/>
      <c r="C5" s="140">
        <v>95000</v>
      </c>
      <c r="D5" s="141">
        <v>145000</v>
      </c>
    </row>
    <row r="6" spans="1:6" x14ac:dyDescent="0.25">
      <c r="A6" s="138" t="s">
        <v>124</v>
      </c>
      <c r="B6" s="139"/>
      <c r="C6" s="140">
        <v>250001</v>
      </c>
      <c r="D6" s="141">
        <v>307150</v>
      </c>
      <c r="F6" s="50"/>
    </row>
    <row r="7" spans="1:6" x14ac:dyDescent="0.25">
      <c r="A7" s="138" t="s">
        <v>125</v>
      </c>
      <c r="B7" s="139"/>
      <c r="C7" s="140">
        <v>0</v>
      </c>
      <c r="D7" s="142">
        <v>0</v>
      </c>
    </row>
    <row r="8" spans="1:6" x14ac:dyDescent="0.25">
      <c r="A8" s="138" t="s">
        <v>126</v>
      </c>
      <c r="B8" s="139"/>
      <c r="C8" s="140">
        <v>0</v>
      </c>
      <c r="D8" s="142">
        <v>0</v>
      </c>
    </row>
    <row r="9" spans="1:6" ht="14.45" x14ac:dyDescent="0.3">
      <c r="A9" s="138" t="s">
        <v>127</v>
      </c>
      <c r="B9" s="139"/>
      <c r="C9" s="140">
        <v>80000</v>
      </c>
      <c r="D9" s="141">
        <v>40000</v>
      </c>
    </row>
    <row r="10" spans="1:6" x14ac:dyDescent="0.25">
      <c r="A10" s="138" t="s">
        <v>128</v>
      </c>
      <c r="B10" s="139"/>
      <c r="C10" s="140">
        <v>33626</v>
      </c>
      <c r="D10" s="141">
        <v>23369</v>
      </c>
    </row>
    <row r="11" spans="1:6" x14ac:dyDescent="0.25">
      <c r="A11" s="138" t="s">
        <v>129</v>
      </c>
      <c r="B11" s="139"/>
      <c r="C11" s="140">
        <v>0</v>
      </c>
      <c r="D11" s="141">
        <v>600</v>
      </c>
    </row>
    <row r="12" spans="1:6" thickBot="1" x14ac:dyDescent="0.35">
      <c r="A12" s="143"/>
      <c r="B12" s="144"/>
      <c r="C12" s="145"/>
      <c r="D12" s="146"/>
      <c r="F12" s="147"/>
    </row>
    <row r="13" spans="1:6" thickBot="1" x14ac:dyDescent="0.35">
      <c r="A13" s="148" t="s">
        <v>130</v>
      </c>
      <c r="B13" s="149">
        <v>1117862</v>
      </c>
      <c r="C13" s="149">
        <f>SUM(C4:C12)</f>
        <v>1013726</v>
      </c>
      <c r="D13" s="149">
        <f>SUM(D4:D12)</f>
        <v>1214474</v>
      </c>
    </row>
    <row r="14" spans="1:6" thickBot="1" x14ac:dyDescent="0.35">
      <c r="A14" s="150"/>
      <c r="B14" s="151"/>
      <c r="C14" s="151"/>
      <c r="D14" s="152"/>
    </row>
    <row r="15" spans="1:6" ht="15.75" thickBot="1" x14ac:dyDescent="0.3">
      <c r="A15" s="153" t="s">
        <v>1</v>
      </c>
      <c r="B15" s="154"/>
      <c r="C15" s="154"/>
      <c r="D15" s="155"/>
    </row>
    <row r="16" spans="1:6" x14ac:dyDescent="0.25">
      <c r="A16" s="156" t="s">
        <v>131</v>
      </c>
      <c r="B16" s="157"/>
      <c r="C16" s="157">
        <v>3518</v>
      </c>
      <c r="D16" s="158">
        <v>3000</v>
      </c>
    </row>
    <row r="17" spans="1:6" x14ac:dyDescent="0.25">
      <c r="A17" s="159" t="s">
        <v>132</v>
      </c>
      <c r="B17" s="160"/>
      <c r="C17" s="160">
        <v>0</v>
      </c>
      <c r="D17" s="161">
        <v>7000</v>
      </c>
    </row>
    <row r="18" spans="1:6" ht="14.45" x14ac:dyDescent="0.3">
      <c r="A18" s="159" t="s">
        <v>133</v>
      </c>
      <c r="B18" s="160"/>
      <c r="C18" s="160">
        <v>38540</v>
      </c>
      <c r="D18" s="161">
        <v>25000</v>
      </c>
      <c r="F18" s="50"/>
    </row>
    <row r="19" spans="1:6" x14ac:dyDescent="0.25">
      <c r="A19" s="162" t="s">
        <v>134</v>
      </c>
      <c r="B19" s="163"/>
      <c r="C19" s="163">
        <v>7850</v>
      </c>
      <c r="D19" s="164">
        <v>0</v>
      </c>
    </row>
    <row r="20" spans="1:6" thickBot="1" x14ac:dyDescent="0.35">
      <c r="A20" s="162"/>
      <c r="B20" s="163"/>
      <c r="C20" s="163"/>
      <c r="D20" s="164"/>
    </row>
    <row r="21" spans="1:6" thickBot="1" x14ac:dyDescent="0.35">
      <c r="A21" s="165" t="s">
        <v>130</v>
      </c>
      <c r="B21" s="166">
        <v>70000</v>
      </c>
      <c r="C21" s="166">
        <f>SUM(C16:C20)</f>
        <v>49908</v>
      </c>
      <c r="D21" s="224">
        <f>SUM(D16:D20)</f>
        <v>35000</v>
      </c>
    </row>
    <row r="22" spans="1:6" thickBot="1" x14ac:dyDescent="0.35">
      <c r="A22" s="150"/>
      <c r="B22" s="167"/>
      <c r="C22" s="167"/>
      <c r="D22" s="34"/>
    </row>
    <row r="23" spans="1:6" ht="15.75" thickBot="1" x14ac:dyDescent="0.3">
      <c r="A23" s="168" t="s">
        <v>2</v>
      </c>
      <c r="B23" s="169"/>
      <c r="C23" s="169"/>
      <c r="D23" s="170"/>
    </row>
    <row r="24" spans="1:6" ht="15.75" thickBot="1" x14ac:dyDescent="0.3">
      <c r="A24" s="171" t="s">
        <v>135</v>
      </c>
      <c r="B24" s="172"/>
      <c r="C24" s="172">
        <v>3557</v>
      </c>
      <c r="D24" s="173">
        <v>8000</v>
      </c>
    </row>
    <row r="25" spans="1:6" thickBot="1" x14ac:dyDescent="0.35">
      <c r="A25" s="174" t="s">
        <v>130</v>
      </c>
      <c r="B25" s="175">
        <v>15000</v>
      </c>
      <c r="C25" s="175">
        <f>SUM(C23:C24)</f>
        <v>3557</v>
      </c>
      <c r="D25" s="285">
        <f>SUM(D24)</f>
        <v>8000</v>
      </c>
    </row>
    <row r="26" spans="1:6" ht="14.45" x14ac:dyDescent="0.3">
      <c r="A26" s="150"/>
      <c r="B26" s="167"/>
      <c r="C26" s="167"/>
      <c r="D26" s="34"/>
    </row>
    <row r="27" spans="1:6" thickBot="1" x14ac:dyDescent="0.35">
      <c r="A27" s="150"/>
      <c r="B27" s="167"/>
      <c r="C27" s="167"/>
      <c r="D27" s="34"/>
    </row>
    <row r="28" spans="1:6" ht="15.75" thickBot="1" x14ac:dyDescent="0.3">
      <c r="A28" s="176" t="s">
        <v>136</v>
      </c>
      <c r="B28" s="177"/>
      <c r="C28" s="177"/>
      <c r="D28" s="178"/>
    </row>
    <row r="29" spans="1:6" ht="15.75" thickBot="1" x14ac:dyDescent="0.3">
      <c r="A29" s="179" t="s">
        <v>137</v>
      </c>
      <c r="B29" s="180"/>
      <c r="C29" s="180">
        <v>1319</v>
      </c>
      <c r="D29" s="181">
        <v>3000</v>
      </c>
    </row>
    <row r="30" spans="1:6" thickBot="1" x14ac:dyDescent="0.35">
      <c r="A30" s="182" t="s">
        <v>130</v>
      </c>
      <c r="B30" s="183">
        <v>5000</v>
      </c>
      <c r="C30" s="183">
        <f>SUM(C28:C29)</f>
        <v>1319</v>
      </c>
      <c r="D30" s="234">
        <f>SUM(D29)</f>
        <v>3000</v>
      </c>
    </row>
    <row r="31" spans="1:6" thickBot="1" x14ac:dyDescent="0.35">
      <c r="A31" s="150"/>
      <c r="B31" s="167"/>
      <c r="C31" s="167"/>
      <c r="D31" s="34"/>
    </row>
    <row r="32" spans="1:6" thickBot="1" x14ac:dyDescent="0.35">
      <c r="A32" s="184" t="s">
        <v>3</v>
      </c>
      <c r="B32" s="185"/>
      <c r="C32" s="186">
        <v>0</v>
      </c>
      <c r="D32" s="187">
        <v>0</v>
      </c>
    </row>
    <row r="33" spans="1:6" thickBot="1" x14ac:dyDescent="0.35">
      <c r="A33" s="188" t="s">
        <v>130</v>
      </c>
      <c r="B33" s="189">
        <v>0</v>
      </c>
      <c r="C33" s="189">
        <v>0</v>
      </c>
      <c r="D33" s="521">
        <v>0</v>
      </c>
    </row>
    <row r="34" spans="1:6" thickBot="1" x14ac:dyDescent="0.35">
      <c r="A34" s="150"/>
      <c r="B34" s="167"/>
      <c r="C34" s="167"/>
      <c r="D34" s="191"/>
    </row>
    <row r="35" spans="1:6" ht="15.75" thickBot="1" x14ac:dyDescent="0.3">
      <c r="A35" s="192" t="s">
        <v>5</v>
      </c>
      <c r="B35" s="193"/>
      <c r="C35" s="193"/>
      <c r="D35" s="194"/>
    </row>
    <row r="36" spans="1:6" ht="14.45" x14ac:dyDescent="0.3">
      <c r="A36" s="195" t="s">
        <v>138</v>
      </c>
      <c r="B36" s="196"/>
      <c r="C36" s="196">
        <v>4140</v>
      </c>
      <c r="D36" s="197">
        <v>5000</v>
      </c>
    </row>
    <row r="37" spans="1:6" x14ac:dyDescent="0.25">
      <c r="A37" s="198" t="s">
        <v>139</v>
      </c>
      <c r="B37" s="199"/>
      <c r="C37" s="199">
        <v>0</v>
      </c>
      <c r="D37" s="200">
        <v>0</v>
      </c>
    </row>
    <row r="38" spans="1:6" ht="14.45" x14ac:dyDescent="0.3">
      <c r="A38" s="198" t="s">
        <v>140</v>
      </c>
      <c r="B38" s="199"/>
      <c r="C38" s="199">
        <v>0</v>
      </c>
      <c r="D38" s="201">
        <v>0</v>
      </c>
    </row>
    <row r="39" spans="1:6" ht="14.45" x14ac:dyDescent="0.3">
      <c r="A39" s="198" t="s">
        <v>141</v>
      </c>
      <c r="B39" s="199"/>
      <c r="C39" s="199">
        <v>0</v>
      </c>
      <c r="D39" s="201">
        <v>0</v>
      </c>
      <c r="F39" s="50"/>
    </row>
    <row r="40" spans="1:6" x14ac:dyDescent="0.25">
      <c r="A40" s="198" t="s">
        <v>142</v>
      </c>
      <c r="B40" s="199"/>
      <c r="C40" s="199">
        <v>2610</v>
      </c>
      <c r="D40" s="201">
        <v>3000</v>
      </c>
    </row>
    <row r="41" spans="1:6" x14ac:dyDescent="0.25">
      <c r="A41" s="198" t="s">
        <v>143</v>
      </c>
      <c r="B41" s="199"/>
      <c r="C41" s="199">
        <v>3030</v>
      </c>
      <c r="D41" s="201">
        <v>0</v>
      </c>
    </row>
    <row r="42" spans="1:6" thickBot="1" x14ac:dyDescent="0.35">
      <c r="A42" s="202" t="s">
        <v>130</v>
      </c>
      <c r="B42" s="203">
        <v>8200</v>
      </c>
      <c r="C42" s="203">
        <f>SUM(C36:C41)</f>
        <v>9780</v>
      </c>
      <c r="D42" s="220">
        <f>SUM(D36:D41)</f>
        <v>8000</v>
      </c>
    </row>
    <row r="43" spans="1:6" thickBot="1" x14ac:dyDescent="0.35">
      <c r="A43" s="14"/>
      <c r="B43" s="204"/>
      <c r="C43" s="204"/>
      <c r="D43" s="205"/>
    </row>
    <row r="44" spans="1:6" ht="18.600000000000001" thickBot="1" x14ac:dyDescent="0.4">
      <c r="A44" s="206" t="s">
        <v>10</v>
      </c>
      <c r="B44" s="207">
        <f>B13+B21+B25+B30+B33+B42</f>
        <v>1216062</v>
      </c>
      <c r="C44" s="207">
        <f>C13+C21+C25+C30+C33+C42</f>
        <v>1078290</v>
      </c>
      <c r="D44" s="208">
        <f>D42+D33+D30+D25+D21+D13</f>
        <v>1268474</v>
      </c>
    </row>
    <row r="45" spans="1:6" ht="14.45" x14ac:dyDescent="0.3">
      <c r="A45" s="18"/>
      <c r="B45" s="18"/>
      <c r="C45" s="18"/>
      <c r="D45" s="18"/>
    </row>
    <row r="46" spans="1:6" ht="30" customHeight="1" x14ac:dyDescent="0.25">
      <c r="A46" s="575" t="s">
        <v>287</v>
      </c>
      <c r="B46" s="575"/>
      <c r="C46" s="575"/>
      <c r="D46" s="575"/>
    </row>
    <row r="47" spans="1:6" x14ac:dyDescent="0.25">
      <c r="A47" s="18" t="s">
        <v>288</v>
      </c>
      <c r="B47" s="18"/>
      <c r="C47" s="18"/>
      <c r="D47" s="18"/>
    </row>
    <row r="48" spans="1:6" ht="49.5" customHeight="1" x14ac:dyDescent="0.25">
      <c r="A48" s="576"/>
      <c r="B48" s="576"/>
      <c r="C48" s="576"/>
      <c r="D48" s="576"/>
    </row>
    <row r="49" spans="1:4" ht="60" customHeight="1" x14ac:dyDescent="0.25">
      <c r="A49" s="461"/>
      <c r="B49" s="461"/>
      <c r="C49" s="461"/>
      <c r="D49" s="461"/>
    </row>
    <row r="50" spans="1:4" x14ac:dyDescent="0.25">
      <c r="A50" s="210"/>
      <c r="B50" s="211"/>
      <c r="C50" s="211"/>
      <c r="D50" s="211"/>
    </row>
  </sheetData>
  <mergeCells count="2">
    <mergeCell ref="A46:D46"/>
    <mergeCell ref="A48:D48"/>
  </mergeCells>
  <pageMargins left="0.7" right="0.7" top="0.78740157499999996" bottom="0.78740157499999996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16" zoomScaleNormal="100" workbookViewId="0">
      <selection activeCell="H41" sqref="H41"/>
    </sheetView>
  </sheetViews>
  <sheetFormatPr defaultRowHeight="15" x14ac:dyDescent="0.25"/>
  <cols>
    <col min="1" max="1" width="37.7109375" bestFit="1" customWidth="1"/>
    <col min="2" max="2" width="14.7109375" style="50" hidden="1" customWidth="1"/>
    <col min="3" max="3" width="15.28515625" style="50" hidden="1" customWidth="1"/>
    <col min="4" max="4" width="14.28515625" style="50" hidden="1" customWidth="1"/>
    <col min="5" max="5" width="13.140625" customWidth="1"/>
    <col min="6" max="7" width="14.28515625" style="50" customWidth="1"/>
    <col min="8" max="8" width="9.140625" customWidth="1"/>
  </cols>
  <sheetData>
    <row r="1" spans="1:9" ht="19.5" thickBot="1" x14ac:dyDescent="0.35">
      <c r="A1" s="127" t="s">
        <v>164</v>
      </c>
    </row>
    <row r="2" spans="1:9" ht="15.75" thickBot="1" x14ac:dyDescent="0.3">
      <c r="A2" s="245" t="s">
        <v>289</v>
      </c>
      <c r="B2" s="246" t="s">
        <v>166</v>
      </c>
      <c r="C2" s="246" t="s">
        <v>167</v>
      </c>
      <c r="D2" s="246" t="s">
        <v>102</v>
      </c>
      <c r="E2" s="246" t="s">
        <v>102</v>
      </c>
      <c r="F2" s="246" t="s">
        <v>290</v>
      </c>
      <c r="G2" s="246" t="s">
        <v>119</v>
      </c>
    </row>
    <row r="3" spans="1:9" ht="15.75" thickBot="1" x14ac:dyDescent="0.3">
      <c r="A3" s="577" t="s">
        <v>120</v>
      </c>
      <c r="B3" s="578"/>
      <c r="C3" s="249"/>
      <c r="D3" s="249"/>
      <c r="E3" s="249"/>
      <c r="F3" s="249"/>
      <c r="G3" s="249" t="s">
        <v>291</v>
      </c>
    </row>
    <row r="4" spans="1:9" ht="14.45" x14ac:dyDescent="0.3">
      <c r="A4" s="134" t="s">
        <v>122</v>
      </c>
      <c r="B4" s="251"/>
      <c r="C4" s="251"/>
      <c r="D4" s="251">
        <v>750000</v>
      </c>
      <c r="E4" s="251"/>
      <c r="F4" s="251">
        <v>633003</v>
      </c>
      <c r="G4" s="251">
        <v>900389</v>
      </c>
    </row>
    <row r="5" spans="1:9" x14ac:dyDescent="0.25">
      <c r="A5" s="138" t="s">
        <v>123</v>
      </c>
      <c r="B5" s="140"/>
      <c r="C5" s="140"/>
      <c r="D5" s="140">
        <v>170000</v>
      </c>
      <c r="E5" s="140"/>
      <c r="F5" s="140">
        <v>251000</v>
      </c>
      <c r="G5" s="140">
        <v>170000</v>
      </c>
    </row>
    <row r="6" spans="1:9" x14ac:dyDescent="0.25">
      <c r="A6" s="138" t="s">
        <v>170</v>
      </c>
      <c r="B6" s="140"/>
      <c r="C6" s="140"/>
      <c r="D6" s="140">
        <f>(D4+D5)*0.3592</f>
        <v>330464</v>
      </c>
      <c r="E6" s="140"/>
      <c r="F6" s="140">
        <v>321886.23</v>
      </c>
      <c r="G6" s="140">
        <f>(G4+G5)*0.3642</f>
        <v>389835.67380000005</v>
      </c>
    </row>
    <row r="7" spans="1:9" x14ac:dyDescent="0.25">
      <c r="A7" s="138" t="s">
        <v>125</v>
      </c>
      <c r="B7" s="140"/>
      <c r="C7" s="140"/>
      <c r="D7" s="140">
        <v>0</v>
      </c>
      <c r="E7" s="140"/>
      <c r="F7" s="140"/>
      <c r="G7" s="140">
        <v>0</v>
      </c>
    </row>
    <row r="8" spans="1:9" x14ac:dyDescent="0.25">
      <c r="A8" s="138" t="s">
        <v>126</v>
      </c>
      <c r="B8" s="140"/>
      <c r="C8" s="140"/>
      <c r="D8" s="140">
        <v>0</v>
      </c>
      <c r="E8" s="140"/>
      <c r="F8" s="140"/>
      <c r="G8" s="140">
        <v>0</v>
      </c>
    </row>
    <row r="9" spans="1:9" ht="14.45" x14ac:dyDescent="0.3">
      <c r="A9" s="138" t="s">
        <v>127</v>
      </c>
      <c r="B9" s="140"/>
      <c r="C9" s="140"/>
      <c r="D9" s="140">
        <v>55000</v>
      </c>
      <c r="E9" s="140"/>
      <c r="F9" s="140">
        <v>32200</v>
      </c>
      <c r="G9" s="140">
        <v>100000</v>
      </c>
    </row>
    <row r="10" spans="1:9" x14ac:dyDescent="0.25">
      <c r="A10" s="138" t="s">
        <v>128</v>
      </c>
      <c r="B10" s="140"/>
      <c r="C10" s="140"/>
      <c r="D10" s="140">
        <v>35000</v>
      </c>
      <c r="E10" s="140"/>
      <c r="F10" s="140">
        <v>20976</v>
      </c>
      <c r="G10" s="140">
        <v>31135</v>
      </c>
    </row>
    <row r="11" spans="1:9" x14ac:dyDescent="0.25">
      <c r="A11" s="138" t="s">
        <v>129</v>
      </c>
      <c r="B11" s="140"/>
      <c r="C11" s="140"/>
      <c r="D11" s="140">
        <v>500</v>
      </c>
      <c r="E11" s="140"/>
      <c r="F11" s="140"/>
      <c r="G11" s="140">
        <v>500</v>
      </c>
    </row>
    <row r="12" spans="1:9" ht="14.45" x14ac:dyDescent="0.3">
      <c r="A12" s="143"/>
      <c r="B12" s="145"/>
      <c r="C12" s="140"/>
      <c r="D12" s="140"/>
      <c r="E12" s="140"/>
      <c r="F12" s="140"/>
      <c r="G12" s="140"/>
      <c r="I12" s="50"/>
    </row>
    <row r="13" spans="1:9" thickBot="1" x14ac:dyDescent="0.35">
      <c r="A13" s="253" t="s">
        <v>130</v>
      </c>
      <c r="B13" s="254">
        <v>1148000</v>
      </c>
      <c r="C13" s="254">
        <v>1290889</v>
      </c>
      <c r="D13" s="254">
        <f>SUM(D4:D12)</f>
        <v>1340964</v>
      </c>
      <c r="E13" s="254">
        <v>1612804</v>
      </c>
      <c r="F13" s="254">
        <v>1259065</v>
      </c>
      <c r="G13" s="522">
        <f>SUM(G4:G12)</f>
        <v>1591859.6738</v>
      </c>
    </row>
    <row r="14" spans="1:9" thickBot="1" x14ac:dyDescent="0.35">
      <c r="A14" s="150"/>
      <c r="B14" s="256"/>
      <c r="C14" s="249"/>
      <c r="D14" s="249"/>
      <c r="E14" s="249"/>
      <c r="F14" s="249"/>
      <c r="G14" s="249"/>
    </row>
    <row r="15" spans="1:9" ht="15.75" thickBot="1" x14ac:dyDescent="0.3">
      <c r="A15" s="577" t="s">
        <v>1</v>
      </c>
      <c r="B15" s="578"/>
      <c r="C15" s="249"/>
      <c r="D15" s="249"/>
      <c r="E15" s="249"/>
      <c r="F15" s="249"/>
      <c r="G15" s="249"/>
    </row>
    <row r="16" spans="1:9" x14ac:dyDescent="0.25">
      <c r="A16" s="156" t="s">
        <v>131</v>
      </c>
      <c r="B16" s="257"/>
      <c r="C16" s="257"/>
      <c r="D16" s="257">
        <v>50000</v>
      </c>
      <c r="E16" s="257"/>
      <c r="F16" s="257">
        <v>8956</v>
      </c>
      <c r="G16" s="257">
        <v>10000</v>
      </c>
    </row>
    <row r="17" spans="1:13" x14ac:dyDescent="0.25">
      <c r="A17" s="159" t="s">
        <v>132</v>
      </c>
      <c r="B17" s="160"/>
      <c r="C17" s="160"/>
      <c r="D17" s="160">
        <v>20000</v>
      </c>
      <c r="E17" s="160"/>
      <c r="F17" s="160">
        <v>5004</v>
      </c>
      <c r="G17" s="160">
        <v>30000</v>
      </c>
    </row>
    <row r="18" spans="1:13" ht="14.45" x14ac:dyDescent="0.3">
      <c r="A18" s="159" t="s">
        <v>133</v>
      </c>
      <c r="B18" s="160"/>
      <c r="C18" s="160"/>
      <c r="D18" s="160">
        <v>5000</v>
      </c>
      <c r="E18" s="160"/>
      <c r="F18" s="160">
        <v>12710</v>
      </c>
      <c r="G18" s="160">
        <v>30000</v>
      </c>
    </row>
    <row r="19" spans="1:13" x14ac:dyDescent="0.25">
      <c r="A19" s="162" t="s">
        <v>134</v>
      </c>
      <c r="B19" s="163"/>
      <c r="C19" s="160"/>
      <c r="D19" s="160">
        <v>125000</v>
      </c>
      <c r="E19" s="160"/>
      <c r="F19" s="160">
        <v>68312</v>
      </c>
      <c r="G19" s="160">
        <v>100000</v>
      </c>
    </row>
    <row r="20" spans="1:13" ht="14.45" x14ac:dyDescent="0.3">
      <c r="A20" s="162"/>
      <c r="B20" s="163"/>
      <c r="C20" s="160"/>
      <c r="D20" s="160"/>
      <c r="E20" s="160"/>
      <c r="F20" s="160"/>
      <c r="G20" s="160"/>
      <c r="M20" s="50"/>
    </row>
    <row r="21" spans="1:13" thickBot="1" x14ac:dyDescent="0.35">
      <c r="A21" s="259" t="s">
        <v>130</v>
      </c>
      <c r="B21" s="260">
        <v>368000</v>
      </c>
      <c r="C21" s="260">
        <v>129087</v>
      </c>
      <c r="D21" s="260">
        <f>SUM(D16:D19)</f>
        <v>200000</v>
      </c>
      <c r="E21" s="260">
        <v>200000</v>
      </c>
      <c r="F21" s="260">
        <v>94982</v>
      </c>
      <c r="G21" s="523">
        <f>SUM(G16:G19)</f>
        <v>170000</v>
      </c>
    </row>
    <row r="22" spans="1:13" ht="15.75" thickBot="1" x14ac:dyDescent="0.3">
      <c r="A22" s="577" t="s">
        <v>2</v>
      </c>
      <c r="B22" s="578"/>
      <c r="C22" s="249"/>
      <c r="D22" s="249"/>
      <c r="E22" s="249"/>
      <c r="F22" s="249"/>
      <c r="G22" s="249"/>
    </row>
    <row r="23" spans="1:13" x14ac:dyDescent="0.25">
      <c r="A23" s="524" t="s">
        <v>135</v>
      </c>
      <c r="B23" s="525"/>
      <c r="C23" s="525"/>
      <c r="D23" s="525">
        <v>20000</v>
      </c>
      <c r="E23" s="525"/>
      <c r="F23" s="525">
        <v>5443</v>
      </c>
      <c r="G23" s="525">
        <v>20000</v>
      </c>
    </row>
    <row r="24" spans="1:13" thickBot="1" x14ac:dyDescent="0.35">
      <c r="A24" s="526" t="s">
        <v>130</v>
      </c>
      <c r="B24" s="527">
        <v>200000</v>
      </c>
      <c r="C24" s="527">
        <v>8221</v>
      </c>
      <c r="D24" s="527">
        <f>D23</f>
        <v>20000</v>
      </c>
      <c r="E24" s="527">
        <v>20000</v>
      </c>
      <c r="F24" s="527">
        <v>5443</v>
      </c>
      <c r="G24" s="528">
        <f>G23</f>
        <v>20000</v>
      </c>
    </row>
    <row r="25" spans="1:13" ht="15.75" thickBot="1" x14ac:dyDescent="0.3">
      <c r="A25" s="577" t="s">
        <v>136</v>
      </c>
      <c r="B25" s="578"/>
      <c r="C25" s="249"/>
      <c r="D25" s="249"/>
      <c r="E25" s="249"/>
      <c r="F25" s="249"/>
      <c r="G25" s="249"/>
    </row>
    <row r="26" spans="1:13" x14ac:dyDescent="0.25">
      <c r="A26" s="268" t="s">
        <v>137</v>
      </c>
      <c r="B26" s="233"/>
      <c r="C26" s="233"/>
      <c r="D26" s="233">
        <v>1000</v>
      </c>
      <c r="E26" s="233"/>
      <c r="F26" s="233">
        <v>2922</v>
      </c>
      <c r="G26" s="233">
        <v>5000</v>
      </c>
    </row>
    <row r="27" spans="1:13" thickBot="1" x14ac:dyDescent="0.35">
      <c r="A27" s="270" t="s">
        <v>130</v>
      </c>
      <c r="B27" s="271">
        <v>0</v>
      </c>
      <c r="C27" s="271">
        <v>665</v>
      </c>
      <c r="D27" s="271">
        <f>D26</f>
        <v>1000</v>
      </c>
      <c r="E27" s="271">
        <v>1000</v>
      </c>
      <c r="F27" s="271">
        <f>F26</f>
        <v>2922</v>
      </c>
      <c r="G27" s="529">
        <f>G26</f>
        <v>5000</v>
      </c>
    </row>
    <row r="28" spans="1:13" thickBot="1" x14ac:dyDescent="0.35">
      <c r="A28" s="577" t="s">
        <v>3</v>
      </c>
      <c r="B28" s="578"/>
      <c r="C28" s="249"/>
      <c r="D28" s="249"/>
      <c r="E28" s="249"/>
      <c r="F28" s="249"/>
      <c r="G28" s="249"/>
    </row>
    <row r="29" spans="1:13" thickBot="1" x14ac:dyDescent="0.35">
      <c r="A29" s="273" t="s">
        <v>130</v>
      </c>
      <c r="B29" s="249">
        <v>0</v>
      </c>
      <c r="C29" s="249">
        <v>0</v>
      </c>
      <c r="D29" s="249">
        <v>0</v>
      </c>
      <c r="E29" s="249"/>
      <c r="F29" s="249">
        <v>0</v>
      </c>
      <c r="G29" s="249">
        <v>0</v>
      </c>
    </row>
    <row r="30" spans="1:13" ht="15.75" thickBot="1" x14ac:dyDescent="0.3">
      <c r="A30" s="577" t="s">
        <v>5</v>
      </c>
      <c r="B30" s="578"/>
      <c r="C30" s="249"/>
      <c r="D30" s="249"/>
      <c r="E30" s="249"/>
      <c r="F30" s="249"/>
      <c r="G30" s="249"/>
    </row>
    <row r="31" spans="1:13" ht="14.45" x14ac:dyDescent="0.3">
      <c r="A31" s="195" t="s">
        <v>138</v>
      </c>
      <c r="B31" s="274"/>
      <c r="C31" s="274"/>
      <c r="D31" s="274">
        <v>20000</v>
      </c>
      <c r="E31" s="274"/>
      <c r="F31" s="274">
        <v>5678</v>
      </c>
      <c r="G31" s="274">
        <v>15000</v>
      </c>
    </row>
    <row r="32" spans="1:13" x14ac:dyDescent="0.25">
      <c r="A32" s="198" t="s">
        <v>139</v>
      </c>
      <c r="B32" s="199"/>
      <c r="C32" s="199"/>
      <c r="D32" s="199">
        <v>5000</v>
      </c>
      <c r="E32" s="199"/>
      <c r="F32" s="199">
        <v>164</v>
      </c>
      <c r="G32" s="199">
        <v>5000</v>
      </c>
    </row>
    <row r="33" spans="1:13" ht="14.45" x14ac:dyDescent="0.3">
      <c r="A33" s="198" t="s">
        <v>140</v>
      </c>
      <c r="B33" s="199"/>
      <c r="C33" s="199"/>
      <c r="D33" s="199">
        <v>0</v>
      </c>
      <c r="E33" s="199"/>
      <c r="F33" s="199"/>
      <c r="G33" s="199">
        <v>0</v>
      </c>
    </row>
    <row r="34" spans="1:13" ht="14.45" x14ac:dyDescent="0.3">
      <c r="A34" s="198" t="s">
        <v>141</v>
      </c>
      <c r="B34" s="199"/>
      <c r="C34" s="199"/>
      <c r="D34" s="199">
        <v>0</v>
      </c>
      <c r="E34" s="199"/>
      <c r="F34" s="199"/>
      <c r="G34" s="199">
        <v>0</v>
      </c>
    </row>
    <row r="35" spans="1:13" x14ac:dyDescent="0.25">
      <c r="A35" s="198" t="s">
        <v>142</v>
      </c>
      <c r="B35" s="199"/>
      <c r="C35" s="199"/>
      <c r="D35" s="199">
        <v>40000</v>
      </c>
      <c r="E35" s="199"/>
      <c r="F35" s="199">
        <v>1470</v>
      </c>
      <c r="G35" s="199">
        <v>40000</v>
      </c>
      <c r="M35" s="50"/>
    </row>
    <row r="36" spans="1:13" ht="31.5" customHeight="1" x14ac:dyDescent="0.25">
      <c r="A36" s="530" t="s">
        <v>292</v>
      </c>
      <c r="B36" s="531"/>
      <c r="C36" s="531"/>
      <c r="D36" s="531">
        <v>185000</v>
      </c>
      <c r="E36" s="531"/>
      <c r="F36" s="531">
        <v>117745</v>
      </c>
      <c r="G36" s="531">
        <v>185000</v>
      </c>
      <c r="H36" s="579"/>
      <c r="I36" s="580"/>
      <c r="J36" s="580"/>
      <c r="K36" s="580"/>
    </row>
    <row r="37" spans="1:13" thickBot="1" x14ac:dyDescent="0.35">
      <c r="A37" s="202" t="s">
        <v>130</v>
      </c>
      <c r="B37" s="276">
        <v>235000</v>
      </c>
      <c r="C37" s="276">
        <v>216526</v>
      </c>
      <c r="D37" s="276">
        <f>SUM(D31:D36)</f>
        <v>250000</v>
      </c>
      <c r="E37" s="276">
        <v>250000</v>
      </c>
      <c r="F37" s="276">
        <v>125057</v>
      </c>
      <c r="G37" s="203">
        <f>SUM(G31:G36)</f>
        <v>245000</v>
      </c>
    </row>
    <row r="38" spans="1:13" ht="15.75" thickBot="1" x14ac:dyDescent="0.3">
      <c r="A38" s="18"/>
      <c r="B38" s="278"/>
      <c r="E38" s="50"/>
    </row>
    <row r="39" spans="1:13" ht="15.75" thickBot="1" x14ac:dyDescent="0.3">
      <c r="A39" s="279" t="s">
        <v>10</v>
      </c>
      <c r="B39" s="280">
        <f>B13+B21+B24+B27+B29+B37</f>
        <v>1951000</v>
      </c>
      <c r="C39" s="280">
        <f t="shared" ref="C39" si="0">C13+C21+C24+C27+C29+C37</f>
        <v>1645388</v>
      </c>
      <c r="D39" s="280">
        <f>D13+D21+D24+D27+D29+D37</f>
        <v>1811964</v>
      </c>
      <c r="E39" s="280">
        <f>E13+E21+E24+E27+E29+E37</f>
        <v>2083804</v>
      </c>
      <c r="F39" s="280">
        <f>F13+F21+F24+F27+F29+F37</f>
        <v>1487469</v>
      </c>
      <c r="G39" s="280">
        <f>G13+G21+G24+G27+G29+G37</f>
        <v>2031859.6738</v>
      </c>
    </row>
    <row r="40" spans="1:13" x14ac:dyDescent="0.25">
      <c r="A40" s="18"/>
      <c r="B40" s="278"/>
    </row>
    <row r="41" spans="1:13" ht="58.9" customHeight="1" x14ac:dyDescent="0.25">
      <c r="A41" s="576" t="s">
        <v>293</v>
      </c>
      <c r="B41" s="576"/>
      <c r="C41" s="576"/>
      <c r="D41" s="576"/>
      <c r="E41" s="576"/>
      <c r="F41" s="576"/>
      <c r="G41" s="576"/>
    </row>
    <row r="42" spans="1:13" x14ac:dyDescent="0.25">
      <c r="A42" s="18" t="s">
        <v>294</v>
      </c>
      <c r="B42" s="278"/>
    </row>
    <row r="43" spans="1:13" x14ac:dyDescent="0.25">
      <c r="A43" s="18"/>
      <c r="B43" s="278"/>
    </row>
    <row r="44" spans="1:13" x14ac:dyDescent="0.25">
      <c r="A44" s="18"/>
      <c r="B44" s="278"/>
    </row>
    <row r="45" spans="1:13" x14ac:dyDescent="0.25">
      <c r="A45" s="18"/>
      <c r="B45" s="278"/>
    </row>
  </sheetData>
  <mergeCells count="8">
    <mergeCell ref="H36:K36"/>
    <mergeCell ref="A41:G41"/>
    <mergeCell ref="A3:B3"/>
    <mergeCell ref="A15:B15"/>
    <mergeCell ref="A22:B22"/>
    <mergeCell ref="A25:B25"/>
    <mergeCell ref="A28:B28"/>
    <mergeCell ref="A30:B30"/>
  </mergeCells>
  <pageMargins left="0.7" right="0.7" top="0.78740157499999996" bottom="0.78740157499999996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19" zoomScaleNormal="100" workbookViewId="0">
      <selection activeCell="A46" sqref="A46:D46"/>
    </sheetView>
  </sheetViews>
  <sheetFormatPr defaultRowHeight="15" x14ac:dyDescent="0.25"/>
  <cols>
    <col min="1" max="1" width="37.7109375" bestFit="1" customWidth="1"/>
    <col min="2" max="2" width="16.28515625" customWidth="1"/>
    <col min="3" max="3" width="17.5703125" customWidth="1"/>
    <col min="4" max="4" width="19.140625" customWidth="1"/>
    <col min="5" max="5" width="9.5703125" bestFit="1" customWidth="1"/>
    <col min="6" max="7" width="10.5703125" bestFit="1" customWidth="1"/>
  </cols>
  <sheetData>
    <row r="1" spans="1:7" ht="24" thickBot="1" x14ac:dyDescent="0.4">
      <c r="A1" s="126" t="s">
        <v>116</v>
      </c>
      <c r="B1" s="127"/>
      <c r="C1" s="127"/>
    </row>
    <row r="2" spans="1:7" ht="42.6" customHeight="1" thickBot="1" x14ac:dyDescent="0.35">
      <c r="A2" s="281" t="s">
        <v>173</v>
      </c>
      <c r="B2" s="129" t="s">
        <v>102</v>
      </c>
      <c r="C2" s="129" t="s">
        <v>174</v>
      </c>
      <c r="D2" s="130" t="s">
        <v>119</v>
      </c>
    </row>
    <row r="3" spans="1:7" ht="15.75" thickBot="1" x14ac:dyDescent="0.3">
      <c r="A3" s="131" t="s">
        <v>120</v>
      </c>
      <c r="B3" s="132"/>
      <c r="C3" s="132"/>
      <c r="D3" s="133" t="s">
        <v>175</v>
      </c>
    </row>
    <row r="4" spans="1:7" ht="14.45" x14ac:dyDescent="0.3">
      <c r="A4" s="134" t="s">
        <v>122</v>
      </c>
      <c r="B4" s="136"/>
      <c r="C4" s="136">
        <v>2689834</v>
      </c>
      <c r="D4" s="137">
        <v>2865545</v>
      </c>
    </row>
    <row r="5" spans="1:7" x14ac:dyDescent="0.25">
      <c r="A5" s="138" t="s">
        <v>123</v>
      </c>
      <c r="B5" s="140"/>
      <c r="C5" s="140">
        <v>286200</v>
      </c>
      <c r="D5" s="141">
        <v>320000</v>
      </c>
    </row>
    <row r="6" spans="1:7" x14ac:dyDescent="0.25">
      <c r="A6" s="138" t="s">
        <v>124</v>
      </c>
      <c r="B6" s="140"/>
      <c r="C6" s="140">
        <v>1078950</v>
      </c>
      <c r="D6" s="141">
        <v>1160175</v>
      </c>
      <c r="E6" s="50"/>
    </row>
    <row r="7" spans="1:7" x14ac:dyDescent="0.25">
      <c r="A7" s="138" t="s">
        <v>125</v>
      </c>
      <c r="B7" s="140"/>
      <c r="C7" s="140"/>
      <c r="D7" s="141"/>
      <c r="F7" s="282"/>
    </row>
    <row r="8" spans="1:7" x14ac:dyDescent="0.25">
      <c r="A8" s="138" t="s">
        <v>149</v>
      </c>
      <c r="B8" s="140"/>
      <c r="C8" s="140"/>
      <c r="D8" s="141"/>
    </row>
    <row r="9" spans="1:7" ht="14.45" x14ac:dyDescent="0.3">
      <c r="A9" s="138" t="s">
        <v>127</v>
      </c>
      <c r="B9" s="140"/>
      <c r="C9" s="140">
        <v>180640</v>
      </c>
      <c r="D9" s="141">
        <v>190000</v>
      </c>
      <c r="E9" s="282"/>
      <c r="G9" s="282"/>
    </row>
    <row r="10" spans="1:7" x14ac:dyDescent="0.25">
      <c r="A10" s="138" t="s">
        <v>128</v>
      </c>
      <c r="B10" s="140"/>
      <c r="C10" s="140">
        <v>79660</v>
      </c>
      <c r="D10" s="141">
        <v>105188</v>
      </c>
      <c r="F10" s="282"/>
    </row>
    <row r="11" spans="1:7" ht="15.75" thickBot="1" x14ac:dyDescent="0.3">
      <c r="A11" s="138" t="s">
        <v>129</v>
      </c>
      <c r="B11" s="140"/>
      <c r="C11" s="140">
        <v>583.67999999999995</v>
      </c>
      <c r="D11" s="141">
        <v>600</v>
      </c>
      <c r="E11" s="282"/>
    </row>
    <row r="12" spans="1:7" thickBot="1" x14ac:dyDescent="0.35">
      <c r="A12" s="148" t="s">
        <v>130</v>
      </c>
      <c r="B12" s="149">
        <v>4510684</v>
      </c>
      <c r="C12" s="149">
        <f>SUM(C4:C11)</f>
        <v>4315867.68</v>
      </c>
      <c r="D12" s="149">
        <f>SUM(D4:D11)</f>
        <v>4641508</v>
      </c>
      <c r="E12" s="50"/>
      <c r="F12" s="282"/>
      <c r="G12" s="282"/>
    </row>
    <row r="13" spans="1:7" thickBot="1" x14ac:dyDescent="0.35">
      <c r="A13" s="150"/>
      <c r="B13" s="167"/>
      <c r="C13" s="167"/>
      <c r="D13" s="256"/>
    </row>
    <row r="14" spans="1:7" ht="15.75" thickBot="1" x14ac:dyDescent="0.3">
      <c r="A14" s="153" t="s">
        <v>1</v>
      </c>
      <c r="B14" s="154"/>
      <c r="C14" s="154"/>
      <c r="D14" s="283"/>
    </row>
    <row r="15" spans="1:7" x14ac:dyDescent="0.25">
      <c r="A15" s="156" t="s">
        <v>131</v>
      </c>
      <c r="B15" s="157"/>
      <c r="C15" s="157">
        <v>36704.239999999998</v>
      </c>
      <c r="D15" s="158">
        <v>50000</v>
      </c>
      <c r="F15" s="282"/>
    </row>
    <row r="16" spans="1:7" x14ac:dyDescent="0.25">
      <c r="A16" s="159" t="s">
        <v>132</v>
      </c>
      <c r="B16" s="160"/>
      <c r="C16" s="160">
        <v>7672</v>
      </c>
      <c r="D16" s="161">
        <v>15000</v>
      </c>
    </row>
    <row r="17" spans="1:4" ht="14.45" x14ac:dyDescent="0.3">
      <c r="A17" s="159" t="s">
        <v>133</v>
      </c>
      <c r="B17" s="160"/>
      <c r="C17" s="160">
        <v>20247.8</v>
      </c>
      <c r="D17" s="161">
        <v>60000</v>
      </c>
    </row>
    <row r="18" spans="1:4" x14ac:dyDescent="0.25">
      <c r="A18" s="162" t="s">
        <v>134</v>
      </c>
      <c r="B18" s="163"/>
      <c r="C18" s="163">
        <v>79437</v>
      </c>
      <c r="D18" s="161">
        <v>80000</v>
      </c>
    </row>
    <row r="19" spans="1:4" thickBot="1" x14ac:dyDescent="0.35">
      <c r="A19" s="162"/>
      <c r="B19" s="163"/>
      <c r="C19" s="163"/>
      <c r="D19" s="213"/>
    </row>
    <row r="20" spans="1:4" thickBot="1" x14ac:dyDescent="0.35">
      <c r="A20" s="165" t="s">
        <v>130</v>
      </c>
      <c r="B20" s="166">
        <v>310000</v>
      </c>
      <c r="C20" s="166">
        <f>SUM(C15:C19)</f>
        <v>144061.03999999998</v>
      </c>
      <c r="D20" s="224">
        <f>SUM(D15:D19)</f>
        <v>205000</v>
      </c>
    </row>
    <row r="21" spans="1:4" thickBot="1" x14ac:dyDescent="0.35">
      <c r="A21" s="150"/>
      <c r="B21" s="167"/>
      <c r="C21" s="167"/>
      <c r="D21" s="34"/>
    </row>
    <row r="22" spans="1:4" ht="15.75" thickBot="1" x14ac:dyDescent="0.3">
      <c r="A22" s="168" t="s">
        <v>2</v>
      </c>
      <c r="B22" s="169"/>
      <c r="C22" s="169"/>
      <c r="D22" s="284"/>
    </row>
    <row r="23" spans="1:4" ht="15.75" thickBot="1" x14ac:dyDescent="0.3">
      <c r="A23" s="171" t="s">
        <v>135</v>
      </c>
      <c r="B23" s="172">
        <v>30000</v>
      </c>
      <c r="C23" s="172">
        <v>8263.5300000000007</v>
      </c>
      <c r="D23" s="173">
        <v>20000</v>
      </c>
    </row>
    <row r="24" spans="1:4" thickBot="1" x14ac:dyDescent="0.35">
      <c r="A24" s="174" t="s">
        <v>130</v>
      </c>
      <c r="B24" s="175">
        <v>30000</v>
      </c>
      <c r="C24" s="175">
        <f>SUM(C23)</f>
        <v>8263.5300000000007</v>
      </c>
      <c r="D24" s="285">
        <f>SUM(D23)</f>
        <v>20000</v>
      </c>
    </row>
    <row r="25" spans="1:4" ht="14.45" x14ac:dyDescent="0.3">
      <c r="A25" s="150"/>
      <c r="B25" s="167"/>
      <c r="C25" s="167"/>
      <c r="D25" s="34"/>
    </row>
    <row r="26" spans="1:4" thickBot="1" x14ac:dyDescent="0.35">
      <c r="A26" s="150"/>
      <c r="B26" s="167"/>
      <c r="C26" s="167"/>
      <c r="D26" s="34"/>
    </row>
    <row r="27" spans="1:4" ht="15.75" thickBot="1" x14ac:dyDescent="0.3">
      <c r="A27" s="176" t="s">
        <v>136</v>
      </c>
      <c r="B27" s="177"/>
      <c r="C27" s="177"/>
      <c r="D27" s="286"/>
    </row>
    <row r="28" spans="1:4" ht="15.75" thickBot="1" x14ac:dyDescent="0.3">
      <c r="A28" s="179" t="s">
        <v>137</v>
      </c>
      <c r="B28" s="180">
        <v>20000</v>
      </c>
      <c r="C28" s="180">
        <v>593</v>
      </c>
      <c r="D28" s="181">
        <v>10000</v>
      </c>
    </row>
    <row r="29" spans="1:4" thickBot="1" x14ac:dyDescent="0.35">
      <c r="A29" s="182" t="s">
        <v>130</v>
      </c>
      <c r="B29" s="183">
        <f>SUM(B28)</f>
        <v>20000</v>
      </c>
      <c r="C29" s="183">
        <f>SUM(C28)</f>
        <v>593</v>
      </c>
      <c r="D29" s="234">
        <f>SUM(D28)</f>
        <v>10000</v>
      </c>
    </row>
    <row r="30" spans="1:4" thickBot="1" x14ac:dyDescent="0.35">
      <c r="A30" s="150"/>
      <c r="B30" s="167"/>
      <c r="C30" s="167"/>
      <c r="D30" s="34"/>
    </row>
    <row r="31" spans="1:4" thickBot="1" x14ac:dyDescent="0.35">
      <c r="A31" s="235" t="s">
        <v>3</v>
      </c>
      <c r="B31" s="236"/>
      <c r="C31" s="236"/>
      <c r="D31" s="287">
        <v>0</v>
      </c>
    </row>
    <row r="32" spans="1:4" thickBot="1" x14ac:dyDescent="0.35">
      <c r="A32" s="237" t="s">
        <v>130</v>
      </c>
      <c r="B32" s="238"/>
      <c r="C32" s="238"/>
      <c r="D32" s="288">
        <v>0</v>
      </c>
    </row>
    <row r="33" spans="1:6" thickBot="1" x14ac:dyDescent="0.35">
      <c r="A33" s="150"/>
      <c r="B33" s="167"/>
      <c r="C33" s="167"/>
      <c r="D33" s="34"/>
    </row>
    <row r="34" spans="1:6" ht="15.75" thickBot="1" x14ac:dyDescent="0.3">
      <c r="A34" s="192" t="s">
        <v>5</v>
      </c>
      <c r="B34" s="193"/>
      <c r="C34" s="193"/>
      <c r="D34" s="289"/>
    </row>
    <row r="35" spans="1:6" ht="14.45" x14ac:dyDescent="0.3">
      <c r="A35" s="195" t="s">
        <v>138</v>
      </c>
      <c r="B35" s="196"/>
      <c r="C35" s="196">
        <v>4258.08</v>
      </c>
      <c r="D35" s="197">
        <v>4500</v>
      </c>
    </row>
    <row r="36" spans="1:6" x14ac:dyDescent="0.25">
      <c r="A36" s="198" t="s">
        <v>139</v>
      </c>
      <c r="B36" s="199"/>
      <c r="C36" s="199">
        <v>41882</v>
      </c>
      <c r="D36" s="200">
        <v>50000</v>
      </c>
    </row>
    <row r="37" spans="1:6" ht="14.45" x14ac:dyDescent="0.3">
      <c r="A37" s="198" t="s">
        <v>140</v>
      </c>
      <c r="B37" s="199"/>
      <c r="C37" s="199"/>
      <c r="D37" s="200"/>
    </row>
    <row r="38" spans="1:6" ht="14.45" x14ac:dyDescent="0.3">
      <c r="A38" s="198" t="s">
        <v>141</v>
      </c>
      <c r="B38" s="199"/>
      <c r="C38" s="199"/>
      <c r="D38" s="200"/>
    </row>
    <row r="39" spans="1:6" x14ac:dyDescent="0.25">
      <c r="A39" s="198" t="s">
        <v>142</v>
      </c>
      <c r="B39" s="199"/>
      <c r="C39" s="199"/>
      <c r="D39" s="200">
        <v>0</v>
      </c>
    </row>
    <row r="40" spans="1:6" x14ac:dyDescent="0.25">
      <c r="A40" s="198" t="s">
        <v>5</v>
      </c>
      <c r="B40" s="199"/>
      <c r="C40" s="199">
        <v>3850</v>
      </c>
      <c r="D40" s="200">
        <v>10000</v>
      </c>
    </row>
    <row r="41" spans="1:6" x14ac:dyDescent="0.25">
      <c r="A41" s="217" t="s">
        <v>176</v>
      </c>
      <c r="B41" s="218"/>
      <c r="C41" s="218">
        <v>8857</v>
      </c>
      <c r="D41" s="290"/>
    </row>
    <row r="42" spans="1:6" ht="15.75" thickBot="1" x14ac:dyDescent="0.3">
      <c r="A42" s="202" t="s">
        <v>130</v>
      </c>
      <c r="B42" s="203">
        <v>115500</v>
      </c>
      <c r="C42" s="203">
        <f>SUM(C35:C41)</f>
        <v>58847.08</v>
      </c>
      <c r="D42" s="291">
        <f>SUM(D35:D40)</f>
        <v>64500</v>
      </c>
    </row>
    <row r="43" spans="1:6" ht="15.75" thickBot="1" x14ac:dyDescent="0.3">
      <c r="A43" s="14"/>
      <c r="B43" s="292"/>
      <c r="C43" s="292"/>
      <c r="D43" s="293"/>
    </row>
    <row r="44" spans="1:6" ht="19.5" thickBot="1" x14ac:dyDescent="0.35">
      <c r="A44" s="206" t="s">
        <v>10</v>
      </c>
      <c r="B44" s="207">
        <f>B12+B20+B24+B29+B32+B42</f>
        <v>4986184</v>
      </c>
      <c r="C44" s="207">
        <f>C12+C20+C24+C29+C32+C42</f>
        <v>4527632.33</v>
      </c>
      <c r="D44" s="208">
        <f>D42+D32+D29+D24+D20+D12</f>
        <v>4941008</v>
      </c>
      <c r="E44" s="50"/>
      <c r="F44" s="282"/>
    </row>
    <row r="45" spans="1:6" x14ac:dyDescent="0.25">
      <c r="A45" s="18"/>
      <c r="B45" s="18"/>
      <c r="C45" s="18"/>
      <c r="D45" s="18"/>
    </row>
    <row r="46" spans="1:6" x14ac:dyDescent="0.25">
      <c r="A46" s="581" t="s">
        <v>177</v>
      </c>
      <c r="B46" s="581"/>
      <c r="C46" s="581"/>
      <c r="D46" s="581"/>
    </row>
    <row r="47" spans="1:6" x14ac:dyDescent="0.25">
      <c r="A47" s="18"/>
      <c r="B47" s="18"/>
      <c r="C47" s="278"/>
      <c r="D47" s="18"/>
    </row>
    <row r="48" spans="1:6" x14ac:dyDescent="0.25">
      <c r="A48" s="18"/>
      <c r="B48" s="18"/>
      <c r="C48" s="18"/>
      <c r="D48" s="27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C51" s="282"/>
    </row>
  </sheetData>
  <mergeCells count="1">
    <mergeCell ref="A46:D46"/>
  </mergeCells>
  <pageMargins left="0.7" right="0.7" top="0.78740157499999996" bottom="0.78740157499999996" header="0.3" footer="0.3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activeCell="E27" sqref="E27"/>
    </sheetView>
  </sheetViews>
  <sheetFormatPr defaultRowHeight="15" x14ac:dyDescent="0.25"/>
  <cols>
    <col min="1" max="1" width="37.7109375" bestFit="1" customWidth="1"/>
    <col min="2" max="2" width="19.42578125" customWidth="1"/>
    <col min="3" max="3" width="24" customWidth="1"/>
    <col min="4" max="4" width="18.42578125" customWidth="1"/>
  </cols>
  <sheetData>
    <row r="1" spans="1:6" ht="24" thickBot="1" x14ac:dyDescent="0.4">
      <c r="A1" s="126" t="s">
        <v>116</v>
      </c>
      <c r="B1" s="127"/>
      <c r="C1" s="127"/>
    </row>
    <row r="2" spans="1:6" ht="19.5" thickBot="1" x14ac:dyDescent="0.35">
      <c r="A2" s="212" t="s">
        <v>178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179</v>
      </c>
    </row>
    <row r="4" spans="1:6" ht="14.45" x14ac:dyDescent="0.3">
      <c r="A4" s="134" t="s">
        <v>122</v>
      </c>
      <c r="B4" s="135"/>
      <c r="C4" s="136">
        <v>1367044</v>
      </c>
      <c r="D4" s="137">
        <v>1184283</v>
      </c>
    </row>
    <row r="5" spans="1:6" x14ac:dyDescent="0.25">
      <c r="A5" s="138" t="s">
        <v>123</v>
      </c>
      <c r="B5" s="139"/>
      <c r="C5" s="140">
        <v>160000</v>
      </c>
      <c r="D5" s="141">
        <v>340000</v>
      </c>
    </row>
    <row r="6" spans="1:6" x14ac:dyDescent="0.25">
      <c r="A6" s="138" t="s">
        <v>124</v>
      </c>
      <c r="B6" s="139"/>
      <c r="C6" s="294">
        <v>555946</v>
      </c>
      <c r="D6" s="141">
        <v>555144</v>
      </c>
      <c r="F6" s="50"/>
    </row>
    <row r="7" spans="1:6" x14ac:dyDescent="0.25">
      <c r="A7" s="138" t="s">
        <v>125</v>
      </c>
      <c r="B7" s="139"/>
      <c r="C7" s="140"/>
      <c r="D7" s="142">
        <v>0</v>
      </c>
    </row>
    <row r="8" spans="1:6" x14ac:dyDescent="0.25">
      <c r="A8" s="138" t="s">
        <v>149</v>
      </c>
      <c r="B8" s="139"/>
      <c r="C8" s="140"/>
      <c r="D8" s="142"/>
    </row>
    <row r="9" spans="1:6" ht="14.45" x14ac:dyDescent="0.3">
      <c r="A9" s="138" t="s">
        <v>127</v>
      </c>
      <c r="B9" s="139"/>
      <c r="C9" s="140">
        <v>50000</v>
      </c>
      <c r="D9" s="141">
        <v>72000</v>
      </c>
    </row>
    <row r="10" spans="1:6" x14ac:dyDescent="0.25">
      <c r="A10" s="138" t="s">
        <v>128</v>
      </c>
      <c r="B10" s="139"/>
      <c r="C10" s="140">
        <v>30750</v>
      </c>
      <c r="D10" s="141">
        <v>35063</v>
      </c>
    </row>
    <row r="11" spans="1:6" x14ac:dyDescent="0.25">
      <c r="A11" s="138" t="s">
        <v>129</v>
      </c>
      <c r="B11" s="139"/>
      <c r="C11" s="140"/>
      <c r="D11" s="141">
        <v>0</v>
      </c>
    </row>
    <row r="12" spans="1:6" thickBot="1" x14ac:dyDescent="0.35">
      <c r="A12" s="143"/>
      <c r="B12" s="144"/>
      <c r="C12" s="145"/>
      <c r="D12" s="146"/>
    </row>
    <row r="13" spans="1:6" thickBot="1" x14ac:dyDescent="0.35">
      <c r="A13" s="148" t="s">
        <v>130</v>
      </c>
      <c r="B13" s="149">
        <v>2679044</v>
      </c>
      <c r="C13" s="149">
        <f>SUM(C4:C12)</f>
        <v>2163740</v>
      </c>
      <c r="D13" s="149">
        <f>SUM(D4:D12)</f>
        <v>2186490</v>
      </c>
      <c r="F13" s="50"/>
    </row>
    <row r="14" spans="1:6" thickBot="1" x14ac:dyDescent="0.35">
      <c r="A14" s="150"/>
      <c r="B14" s="151"/>
      <c r="C14" s="295"/>
      <c r="D14" s="152"/>
    </row>
    <row r="15" spans="1:6" ht="15.75" thickBot="1" x14ac:dyDescent="0.3">
      <c r="A15" s="153" t="s">
        <v>1</v>
      </c>
      <c r="B15" s="154"/>
      <c r="C15" s="296"/>
      <c r="D15" s="155"/>
    </row>
    <row r="16" spans="1:6" x14ac:dyDescent="0.25">
      <c r="A16" s="156" t="s">
        <v>131</v>
      </c>
      <c r="B16" s="157"/>
      <c r="C16" s="157">
        <v>10038</v>
      </c>
      <c r="D16" s="158">
        <v>14000</v>
      </c>
    </row>
    <row r="17" spans="1:4" x14ac:dyDescent="0.25">
      <c r="A17" s="159" t="s">
        <v>132</v>
      </c>
      <c r="B17" s="160"/>
      <c r="C17" s="160"/>
      <c r="D17" s="161">
        <v>6000</v>
      </c>
    </row>
    <row r="18" spans="1:4" ht="14.45" x14ac:dyDescent="0.3">
      <c r="A18" s="159" t="s">
        <v>133</v>
      </c>
      <c r="B18" s="160"/>
      <c r="C18" s="160"/>
      <c r="D18" s="161">
        <v>15000</v>
      </c>
    </row>
    <row r="19" spans="1:4" x14ac:dyDescent="0.25">
      <c r="A19" s="162" t="s">
        <v>134</v>
      </c>
      <c r="B19" s="163"/>
      <c r="C19" s="163">
        <v>1851</v>
      </c>
      <c r="D19" s="164">
        <v>3000</v>
      </c>
    </row>
    <row r="20" spans="1:4" thickBot="1" x14ac:dyDescent="0.35">
      <c r="A20" s="162"/>
      <c r="B20" s="163"/>
      <c r="C20" s="163"/>
      <c r="D20" s="164"/>
    </row>
    <row r="21" spans="1:4" thickBot="1" x14ac:dyDescent="0.35">
      <c r="A21" s="165" t="s">
        <v>130</v>
      </c>
      <c r="B21" s="166">
        <v>40000</v>
      </c>
      <c r="C21" s="166">
        <v>11889</v>
      </c>
      <c r="D21" s="224">
        <f>SUM(D16:D20)</f>
        <v>38000</v>
      </c>
    </row>
    <row r="22" spans="1:4" thickBot="1" x14ac:dyDescent="0.35">
      <c r="A22" s="150"/>
      <c r="B22" s="167"/>
      <c r="C22" s="295"/>
      <c r="D22" s="34"/>
    </row>
    <row r="23" spans="1:4" ht="15.75" thickBot="1" x14ac:dyDescent="0.3">
      <c r="A23" s="168" t="s">
        <v>2</v>
      </c>
      <c r="B23" s="169"/>
      <c r="C23" s="297"/>
      <c r="D23" s="170"/>
    </row>
    <row r="24" spans="1:4" ht="15.75" thickBot="1" x14ac:dyDescent="0.3">
      <c r="A24" s="171" t="s">
        <v>135</v>
      </c>
      <c r="B24" s="172"/>
      <c r="C24" s="172">
        <v>3532</v>
      </c>
      <c r="D24" s="173">
        <v>5000</v>
      </c>
    </row>
    <row r="25" spans="1:4" ht="15.75" thickBot="1" x14ac:dyDescent="0.3">
      <c r="A25" s="174" t="s">
        <v>130</v>
      </c>
      <c r="B25" s="175">
        <v>8000</v>
      </c>
      <c r="C25" s="175">
        <f>SUM(C24)</f>
        <v>3532</v>
      </c>
      <c r="D25" s="285">
        <f>SUM(D24)</f>
        <v>5000</v>
      </c>
    </row>
    <row r="26" spans="1:4" x14ac:dyDescent="0.25">
      <c r="A26" s="150"/>
      <c r="B26" s="167"/>
      <c r="C26" s="295"/>
      <c r="D26" s="34"/>
    </row>
    <row r="27" spans="1:4" ht="15.75" thickBot="1" x14ac:dyDescent="0.3">
      <c r="A27" s="150"/>
      <c r="B27" s="167"/>
      <c r="C27" s="295"/>
      <c r="D27" s="34"/>
    </row>
    <row r="28" spans="1:4" ht="15.75" thickBot="1" x14ac:dyDescent="0.3">
      <c r="A28" s="176" t="s">
        <v>136</v>
      </c>
      <c r="B28" s="177"/>
      <c r="C28" s="298"/>
      <c r="D28" s="178"/>
    </row>
    <row r="29" spans="1:4" ht="15.75" thickBot="1" x14ac:dyDescent="0.3">
      <c r="A29" s="179" t="s">
        <v>137</v>
      </c>
      <c r="B29" s="180"/>
      <c r="C29" s="180">
        <v>1831</v>
      </c>
      <c r="D29" s="181">
        <v>3000</v>
      </c>
    </row>
    <row r="30" spans="1:4" ht="15.75" thickBot="1" x14ac:dyDescent="0.3">
      <c r="A30" s="182" t="s">
        <v>130</v>
      </c>
      <c r="B30" s="183"/>
      <c r="C30" s="183">
        <f>SUM(C29)</f>
        <v>1831</v>
      </c>
      <c r="D30" s="234">
        <f>SUM(D29)</f>
        <v>3000</v>
      </c>
    </row>
    <row r="31" spans="1:4" ht="15.75" thickBot="1" x14ac:dyDescent="0.3">
      <c r="A31" s="150"/>
      <c r="B31" s="167"/>
      <c r="C31" s="295"/>
      <c r="D31" s="34"/>
    </row>
    <row r="32" spans="1:4" ht="15.75" thickBot="1" x14ac:dyDescent="0.3">
      <c r="A32" s="235" t="s">
        <v>3</v>
      </c>
      <c r="B32" s="236"/>
      <c r="C32" s="299"/>
      <c r="D32" s="187">
        <v>0</v>
      </c>
    </row>
    <row r="33" spans="1:6" ht="15.75" thickBot="1" x14ac:dyDescent="0.3">
      <c r="A33" s="237" t="s">
        <v>130</v>
      </c>
      <c r="B33" s="238"/>
      <c r="C33" s="300"/>
      <c r="D33" s="190">
        <v>0</v>
      </c>
    </row>
    <row r="34" spans="1:6" ht="15.75" thickBot="1" x14ac:dyDescent="0.3">
      <c r="A34" s="150"/>
      <c r="B34" s="167"/>
      <c r="C34" s="295"/>
      <c r="D34" s="191"/>
    </row>
    <row r="35" spans="1:6" ht="15.75" thickBot="1" x14ac:dyDescent="0.3">
      <c r="A35" s="192" t="s">
        <v>5</v>
      </c>
      <c r="B35" s="193"/>
      <c r="C35" s="301"/>
      <c r="D35" s="194"/>
    </row>
    <row r="36" spans="1:6" x14ac:dyDescent="0.25">
      <c r="A36" s="195" t="s">
        <v>138</v>
      </c>
      <c r="B36" s="196"/>
      <c r="C36" s="196">
        <v>6570</v>
      </c>
      <c r="D36" s="197">
        <v>8000</v>
      </c>
    </row>
    <row r="37" spans="1:6" x14ac:dyDescent="0.25">
      <c r="A37" s="198" t="s">
        <v>139</v>
      </c>
      <c r="B37" s="199"/>
      <c r="C37" s="199"/>
      <c r="D37" s="200">
        <v>600</v>
      </c>
    </row>
    <row r="38" spans="1:6" x14ac:dyDescent="0.25">
      <c r="A38" s="198" t="s">
        <v>140</v>
      </c>
      <c r="B38" s="199"/>
      <c r="C38" s="199"/>
      <c r="D38" s="201"/>
    </row>
    <row r="39" spans="1:6" x14ac:dyDescent="0.25">
      <c r="A39" s="198" t="s">
        <v>141</v>
      </c>
      <c r="B39" s="199"/>
      <c r="C39" s="199">
        <v>4509</v>
      </c>
      <c r="D39" s="201"/>
    </row>
    <row r="40" spans="1:6" x14ac:dyDescent="0.25">
      <c r="A40" s="198" t="s">
        <v>142</v>
      </c>
      <c r="B40" s="199"/>
      <c r="C40" s="199">
        <v>330</v>
      </c>
      <c r="D40" s="201">
        <v>6000</v>
      </c>
      <c r="F40" s="147"/>
    </row>
    <row r="41" spans="1:6" x14ac:dyDescent="0.25">
      <c r="A41" s="198" t="s">
        <v>180</v>
      </c>
      <c r="B41" s="199"/>
      <c r="C41" s="199">
        <v>87477</v>
      </c>
      <c r="D41" s="201">
        <v>85000</v>
      </c>
    </row>
    <row r="42" spans="1:6" ht="15.75" thickBot="1" x14ac:dyDescent="0.3">
      <c r="A42" s="202" t="s">
        <v>130</v>
      </c>
      <c r="B42" s="203">
        <v>250000</v>
      </c>
      <c r="C42" s="203">
        <v>98886</v>
      </c>
      <c r="D42" s="220">
        <f>SUM(D36:D41)</f>
        <v>99600</v>
      </c>
    </row>
    <row r="43" spans="1:6" ht="15.75" thickBot="1" x14ac:dyDescent="0.3">
      <c r="A43" s="14"/>
      <c r="B43" s="204"/>
      <c r="C43" s="302"/>
      <c r="D43" s="205"/>
    </row>
    <row r="44" spans="1:6" ht="19.5" thickBot="1" x14ac:dyDescent="0.35">
      <c r="A44" s="206" t="s">
        <v>10</v>
      </c>
      <c r="B44" s="207">
        <f>B13+B21+B25+B30+B33+B42</f>
        <v>2977044</v>
      </c>
      <c r="C44" s="207">
        <f>C13+C21+C25+C30+C33+C42</f>
        <v>2279878</v>
      </c>
      <c r="D44" s="208">
        <f>D42+D33+D30+D25+D21+D13</f>
        <v>2332090</v>
      </c>
    </row>
    <row r="45" spans="1:6" x14ac:dyDescent="0.25">
      <c r="A45" s="18"/>
      <c r="B45" s="18"/>
      <c r="C45" s="18"/>
      <c r="D45" s="18"/>
    </row>
    <row r="46" spans="1:6" ht="27.6" customHeight="1" x14ac:dyDescent="0.25">
      <c r="A46" s="562" t="s">
        <v>181</v>
      </c>
      <c r="B46" s="562"/>
      <c r="C46" s="562"/>
      <c r="D46" s="562"/>
    </row>
    <row r="47" spans="1:6" x14ac:dyDescent="0.25">
      <c r="A47" s="18"/>
      <c r="B47" s="18"/>
      <c r="C47" s="18"/>
      <c r="D47" s="18"/>
    </row>
    <row r="48" spans="1:6" x14ac:dyDescent="0.25">
      <c r="A48" s="18"/>
      <c r="B48" s="18"/>
      <c r="C48" s="18"/>
      <c r="D48" s="18"/>
    </row>
    <row r="49" spans="1:4" x14ac:dyDescent="0.25">
      <c r="A49" s="18"/>
      <c r="B49" s="303"/>
      <c r="C49" s="18"/>
      <c r="D49" s="18"/>
    </row>
    <row r="50" spans="1:4" x14ac:dyDescent="0.25">
      <c r="A50" s="18"/>
      <c r="B50" s="18"/>
      <c r="C50" s="18"/>
      <c r="D50" s="18"/>
    </row>
  </sheetData>
  <mergeCells count="1">
    <mergeCell ref="A46:D46"/>
  </mergeCells>
  <pageMargins left="0.7" right="0.7" top="0.78740157499999996" bottom="0.78740157499999996" header="0.3" footer="0.3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topLeftCell="A16" zoomScale="90" zoomScaleNormal="100" zoomScaleSheetLayoutView="90" workbookViewId="0">
      <selection activeCell="D48" sqref="D48"/>
    </sheetView>
  </sheetViews>
  <sheetFormatPr defaultRowHeight="15" x14ac:dyDescent="0.25"/>
  <cols>
    <col min="1" max="1" width="42.7109375" customWidth="1"/>
    <col min="2" max="4" width="25.7109375" style="330" customWidth="1"/>
  </cols>
  <sheetData>
    <row r="1" spans="1:4" ht="19.5" thickBot="1" x14ac:dyDescent="0.35">
      <c r="A1" s="127" t="s">
        <v>116</v>
      </c>
      <c r="B1" s="127"/>
      <c r="C1" s="127"/>
      <c r="D1" s="127"/>
    </row>
    <row r="2" spans="1:4" ht="19.5" thickBot="1" x14ac:dyDescent="0.3">
      <c r="A2" s="307">
        <v>3911</v>
      </c>
      <c r="B2" s="308" t="s">
        <v>197</v>
      </c>
      <c r="C2" s="309" t="s">
        <v>118</v>
      </c>
      <c r="D2" s="310" t="s">
        <v>119</v>
      </c>
    </row>
    <row r="3" spans="1:4" ht="15.75" thickBot="1" x14ac:dyDescent="0.3">
      <c r="A3" s="311" t="s">
        <v>198</v>
      </c>
      <c r="B3" s="312"/>
      <c r="C3" s="312"/>
      <c r="D3" s="313" t="s">
        <v>199</v>
      </c>
    </row>
    <row r="4" spans="1:4" ht="14.45" x14ac:dyDescent="0.3">
      <c r="A4" s="134" t="s">
        <v>122</v>
      </c>
      <c r="B4" s="349">
        <v>1970000</v>
      </c>
      <c r="C4" s="349">
        <v>1561934</v>
      </c>
      <c r="D4" s="507">
        <v>2288550</v>
      </c>
    </row>
    <row r="5" spans="1:4" x14ac:dyDescent="0.25">
      <c r="A5" s="138" t="s">
        <v>123</v>
      </c>
      <c r="B5" s="349">
        <v>265000</v>
      </c>
      <c r="C5" s="350">
        <v>246000</v>
      </c>
      <c r="D5" s="351">
        <v>340000</v>
      </c>
    </row>
    <row r="6" spans="1:4" x14ac:dyDescent="0.25">
      <c r="A6" s="138" t="s">
        <v>124</v>
      </c>
      <c r="B6" s="349">
        <v>851075</v>
      </c>
      <c r="C6" s="350">
        <v>1149670.1900000002</v>
      </c>
      <c r="D6" s="351">
        <v>957317.90999999992</v>
      </c>
    </row>
    <row r="7" spans="1:4" x14ac:dyDescent="0.25">
      <c r="A7" s="138" t="s">
        <v>125</v>
      </c>
      <c r="B7" s="349">
        <v>135000</v>
      </c>
      <c r="C7" s="350">
        <v>142300</v>
      </c>
      <c r="D7" s="351">
        <v>155000</v>
      </c>
    </row>
    <row r="8" spans="1:4" x14ac:dyDescent="0.25">
      <c r="A8" s="138" t="s">
        <v>149</v>
      </c>
      <c r="B8" s="349"/>
      <c r="C8" s="350"/>
      <c r="D8" s="351">
        <v>53351.000000000007</v>
      </c>
    </row>
    <row r="9" spans="1:4" ht="14.45" x14ac:dyDescent="0.3">
      <c r="A9" s="138" t="s">
        <v>127</v>
      </c>
      <c r="B9" s="349">
        <v>120000</v>
      </c>
      <c r="C9" s="350">
        <v>36700</v>
      </c>
      <c r="D9" s="351">
        <v>87000</v>
      </c>
    </row>
    <row r="10" spans="1:4" ht="15.75" thickBot="1" x14ac:dyDescent="0.3">
      <c r="A10" s="138" t="s">
        <v>128</v>
      </c>
      <c r="B10" s="349">
        <v>71000</v>
      </c>
      <c r="C10" s="350">
        <v>65228</v>
      </c>
      <c r="D10" s="351">
        <v>88867.25</v>
      </c>
    </row>
    <row r="11" spans="1:4" thickBot="1" x14ac:dyDescent="0.35">
      <c r="A11" s="148" t="s">
        <v>130</v>
      </c>
      <c r="B11" s="355">
        <f>SUM(B4:B10)</f>
        <v>3412075</v>
      </c>
      <c r="C11" s="355">
        <v>3201832.1900000004</v>
      </c>
      <c r="D11" s="414">
        <v>3970086.16</v>
      </c>
    </row>
    <row r="12" spans="1:4" thickBot="1" x14ac:dyDescent="0.35">
      <c r="A12" s="1"/>
      <c r="B12" s="421"/>
      <c r="C12" s="421"/>
      <c r="D12" s="357"/>
    </row>
    <row r="13" spans="1:4" ht="15.75" thickBot="1" x14ac:dyDescent="0.3">
      <c r="A13" s="315" t="s">
        <v>1</v>
      </c>
      <c r="B13" s="358"/>
      <c r="C13" s="358"/>
      <c r="D13" s="422"/>
    </row>
    <row r="14" spans="1:4" x14ac:dyDescent="0.25">
      <c r="A14" s="156" t="s">
        <v>200</v>
      </c>
      <c r="B14" s="360">
        <v>980000</v>
      </c>
      <c r="C14" s="360">
        <v>-19347</v>
      </c>
      <c r="D14" s="445"/>
    </row>
    <row r="15" spans="1:4" x14ac:dyDescent="0.25">
      <c r="A15" s="162" t="s">
        <v>134</v>
      </c>
      <c r="B15" s="423"/>
      <c r="C15" s="423">
        <v>768231.83</v>
      </c>
      <c r="D15" s="363">
        <v>1000000</v>
      </c>
    </row>
    <row r="16" spans="1:4" thickBot="1" x14ac:dyDescent="0.35">
      <c r="A16" s="162"/>
      <c r="B16" s="423"/>
      <c r="C16" s="423"/>
      <c r="D16" s="363"/>
    </row>
    <row r="17" spans="1:4" thickBot="1" x14ac:dyDescent="0.35">
      <c r="A17" s="165" t="s">
        <v>130</v>
      </c>
      <c r="B17" s="365">
        <f>SUM(B14:B16)</f>
        <v>980000</v>
      </c>
      <c r="C17" s="365">
        <v>748884.83</v>
      </c>
      <c r="D17" s="366">
        <v>1000000</v>
      </c>
    </row>
    <row r="18" spans="1:4" thickBot="1" x14ac:dyDescent="0.35">
      <c r="A18" s="1"/>
      <c r="B18" s="421"/>
      <c r="C18" s="421"/>
      <c r="D18" s="357"/>
    </row>
    <row r="19" spans="1:4" ht="15.75" thickBot="1" x14ac:dyDescent="0.3">
      <c r="A19" s="316" t="s">
        <v>2</v>
      </c>
      <c r="B19" s="426"/>
      <c r="C19" s="426"/>
      <c r="D19" s="427"/>
    </row>
    <row r="20" spans="1:4" ht="15.75" thickBot="1" x14ac:dyDescent="0.3">
      <c r="A20" s="171" t="s">
        <v>135</v>
      </c>
      <c r="B20" s="369">
        <v>10000</v>
      </c>
      <c r="C20" s="369">
        <v>1649</v>
      </c>
      <c r="D20" s="370">
        <v>10000</v>
      </c>
    </row>
    <row r="21" spans="1:4" thickBot="1" x14ac:dyDescent="0.35">
      <c r="A21" s="174" t="s">
        <v>130</v>
      </c>
      <c r="B21" s="371">
        <f>SUM(B20)</f>
        <v>10000</v>
      </c>
      <c r="C21" s="371">
        <v>1649</v>
      </c>
      <c r="D21" s="372">
        <v>10000</v>
      </c>
    </row>
    <row r="22" spans="1:4" thickBot="1" x14ac:dyDescent="0.35">
      <c r="A22" s="1"/>
      <c r="B22" s="421"/>
      <c r="C22" s="421"/>
      <c r="D22" s="357"/>
    </row>
    <row r="23" spans="1:4" ht="15.75" thickBot="1" x14ac:dyDescent="0.3">
      <c r="A23" s="317" t="s">
        <v>136</v>
      </c>
      <c r="B23" s="373"/>
      <c r="C23" s="373"/>
      <c r="D23" s="429"/>
    </row>
    <row r="24" spans="1:4" ht="15.75" thickBot="1" x14ac:dyDescent="0.3">
      <c r="A24" s="179" t="s">
        <v>137</v>
      </c>
      <c r="B24" s="376">
        <v>1350000</v>
      </c>
      <c r="C24" s="376">
        <v>1471996.61</v>
      </c>
      <c r="D24" s="377">
        <v>1695000</v>
      </c>
    </row>
    <row r="25" spans="1:4" thickBot="1" x14ac:dyDescent="0.35">
      <c r="A25" s="182" t="s">
        <v>130</v>
      </c>
      <c r="B25" s="378">
        <f>SUM(B24)</f>
        <v>1350000</v>
      </c>
      <c r="C25" s="378">
        <v>1471996.61</v>
      </c>
      <c r="D25" s="379">
        <v>1695000</v>
      </c>
    </row>
    <row r="26" spans="1:4" thickBot="1" x14ac:dyDescent="0.35">
      <c r="A26" s="1"/>
      <c r="B26" s="421"/>
      <c r="C26" s="421"/>
      <c r="D26" s="357"/>
    </row>
    <row r="27" spans="1:4" thickBot="1" x14ac:dyDescent="0.35">
      <c r="A27" s="318" t="s">
        <v>3</v>
      </c>
      <c r="B27" s="431"/>
      <c r="C27" s="431"/>
      <c r="D27" s="432"/>
    </row>
    <row r="28" spans="1:4" ht="15.75" thickBot="1" x14ac:dyDescent="0.3">
      <c r="A28" s="320" t="s">
        <v>201</v>
      </c>
      <c r="B28" s="508"/>
      <c r="C28" s="508">
        <v>0</v>
      </c>
      <c r="D28" s="509">
        <v>0</v>
      </c>
    </row>
    <row r="29" spans="1:4" thickBot="1" x14ac:dyDescent="0.35">
      <c r="A29" s="320" t="s">
        <v>202</v>
      </c>
      <c r="B29" s="508"/>
      <c r="C29" s="508">
        <v>0</v>
      </c>
      <c r="D29" s="509">
        <v>0</v>
      </c>
    </row>
    <row r="30" spans="1:4" thickBot="1" x14ac:dyDescent="0.35">
      <c r="A30" s="320" t="s">
        <v>203</v>
      </c>
      <c r="B30" s="508"/>
      <c r="C30" s="508">
        <v>0</v>
      </c>
      <c r="D30" s="509">
        <v>0</v>
      </c>
    </row>
    <row r="31" spans="1:4" thickBot="1" x14ac:dyDescent="0.35">
      <c r="A31" s="188" t="s">
        <v>130</v>
      </c>
      <c r="B31" s="393">
        <f>SUM(B28:B30)</f>
        <v>0</v>
      </c>
      <c r="C31" s="393">
        <v>0</v>
      </c>
      <c r="D31" s="436">
        <v>0</v>
      </c>
    </row>
    <row r="32" spans="1:4" thickBot="1" x14ac:dyDescent="0.35">
      <c r="A32" s="1"/>
      <c r="B32" s="421"/>
      <c r="C32" s="421"/>
      <c r="D32" s="357"/>
    </row>
    <row r="33" spans="1:11" ht="15.75" thickBot="1" x14ac:dyDescent="0.3">
      <c r="A33" s="321" t="s">
        <v>5</v>
      </c>
      <c r="B33" s="394"/>
      <c r="C33" s="394"/>
      <c r="D33" s="437"/>
    </row>
    <row r="34" spans="1:11" x14ac:dyDescent="0.25">
      <c r="A34" s="195" t="s">
        <v>204</v>
      </c>
      <c r="B34" s="397">
        <v>1230000</v>
      </c>
      <c r="C34" s="397">
        <v>1047804.7499999999</v>
      </c>
      <c r="D34" s="398">
        <v>1375000</v>
      </c>
    </row>
    <row r="35" spans="1:11" ht="15.75" thickBot="1" x14ac:dyDescent="0.3">
      <c r="A35" s="217" t="s">
        <v>153</v>
      </c>
      <c r="B35" s="399"/>
      <c r="C35" s="399">
        <v>-175209.86</v>
      </c>
      <c r="D35" s="400"/>
    </row>
    <row r="36" spans="1:11" thickBot="1" x14ac:dyDescent="0.35">
      <c r="A36" s="242" t="s">
        <v>130</v>
      </c>
      <c r="B36" s="401">
        <f>SUM(B34:B35)</f>
        <v>1230000</v>
      </c>
      <c r="C36" s="401">
        <v>872594.8899999999</v>
      </c>
      <c r="D36" s="402">
        <v>1375000</v>
      </c>
    </row>
    <row r="37" spans="1:11" thickBot="1" x14ac:dyDescent="0.35">
      <c r="A37" s="1"/>
      <c r="B37" s="421"/>
      <c r="C37" s="421"/>
      <c r="D37" s="357"/>
    </row>
    <row r="38" spans="1:11" thickBot="1" x14ac:dyDescent="0.35">
      <c r="A38" s="322" t="s">
        <v>13</v>
      </c>
      <c r="B38" s="403"/>
      <c r="C38" s="403"/>
      <c r="D38" s="438"/>
    </row>
    <row r="39" spans="1:11" thickBot="1" x14ac:dyDescent="0.35">
      <c r="A39" s="323"/>
      <c r="B39" s="406">
        <v>235969</v>
      </c>
      <c r="C39" s="406">
        <v>258496</v>
      </c>
      <c r="D39" s="407">
        <v>159665</v>
      </c>
    </row>
    <row r="40" spans="1:11" thickBot="1" x14ac:dyDescent="0.35">
      <c r="A40" s="324" t="s">
        <v>130</v>
      </c>
      <c r="B40" s="408">
        <f>SUM(B39)</f>
        <v>235969</v>
      </c>
      <c r="C40" s="408">
        <v>258496</v>
      </c>
      <c r="D40" s="409">
        <v>159665</v>
      </c>
    </row>
    <row r="41" spans="1:11" thickBot="1" x14ac:dyDescent="0.35">
      <c r="A41" s="1"/>
      <c r="B41" s="421"/>
      <c r="C41" s="421"/>
      <c r="D41" s="357"/>
    </row>
    <row r="42" spans="1:11" ht="19.5" thickBot="1" x14ac:dyDescent="0.35">
      <c r="A42" s="206" t="s">
        <v>10</v>
      </c>
      <c r="B42" s="411">
        <f t="shared" ref="B42" si="0">B11+B17+B21+B25+B31+B36+B40</f>
        <v>7218044</v>
      </c>
      <c r="C42" s="411">
        <v>6555453.5200000005</v>
      </c>
      <c r="D42" s="448">
        <v>8209751.1600000001</v>
      </c>
    </row>
    <row r="43" spans="1:11" x14ac:dyDescent="0.25">
      <c r="A43" s="1"/>
      <c r="B43" s="314"/>
      <c r="C43" s="314"/>
      <c r="D43" s="314"/>
    </row>
    <row r="44" spans="1:11" x14ac:dyDescent="0.25">
      <c r="A44" s="325" t="s">
        <v>205</v>
      </c>
      <c r="B44" s="326"/>
      <c r="C44" s="326"/>
      <c r="D44" s="326"/>
      <c r="E44" s="326"/>
      <c r="F44" s="326"/>
      <c r="G44" s="326"/>
      <c r="H44" s="326"/>
      <c r="I44" s="326"/>
      <c r="J44" s="327"/>
      <c r="K44" s="326"/>
    </row>
    <row r="45" spans="1:11" s="464" customFormat="1" ht="30.6" customHeight="1" x14ac:dyDescent="0.25">
      <c r="A45" s="582" t="s">
        <v>206</v>
      </c>
      <c r="B45" s="582"/>
      <c r="C45" s="582"/>
      <c r="D45" s="582"/>
      <c r="E45" s="462"/>
      <c r="F45" s="462"/>
      <c r="G45" s="462"/>
      <c r="H45" s="462"/>
      <c r="I45" s="462"/>
      <c r="J45" s="462"/>
      <c r="K45" s="462"/>
    </row>
    <row r="46" spans="1:11" s="464" customFormat="1" ht="43.9" customHeight="1" x14ac:dyDescent="0.25">
      <c r="A46" s="583" t="s">
        <v>207</v>
      </c>
      <c r="B46" s="583"/>
      <c r="C46" s="583"/>
      <c r="D46" s="583"/>
      <c r="E46" s="463"/>
      <c r="F46" s="463"/>
      <c r="G46" s="463"/>
      <c r="H46" s="463"/>
      <c r="I46" s="463"/>
      <c r="J46" s="463"/>
      <c r="K46" s="463"/>
    </row>
    <row r="47" spans="1:11" x14ac:dyDescent="0.25">
      <c r="A47" s="328"/>
      <c r="B47" s="327"/>
      <c r="C47" s="327"/>
      <c r="D47" s="327"/>
    </row>
    <row r="48" spans="1:11" x14ac:dyDescent="0.25">
      <c r="A48" s="222"/>
      <c r="B48" s="329"/>
      <c r="C48" s="329"/>
      <c r="D48" s="329"/>
    </row>
    <row r="49" spans="1:4" x14ac:dyDescent="0.25">
      <c r="A49" s="18"/>
      <c r="B49" s="329"/>
      <c r="C49" s="329"/>
      <c r="D49" s="329"/>
    </row>
  </sheetData>
  <mergeCells count="2">
    <mergeCell ref="A45:D45"/>
    <mergeCell ref="A46:D46"/>
  </mergeCells>
  <pageMargins left="0.25" right="0.25" top="0.75" bottom="0.75" header="0.3" footer="0.3"/>
  <pageSetup paperSize="9" scale="82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9" workbookViewId="0">
      <selection activeCell="A45" sqref="A45:D45"/>
    </sheetView>
  </sheetViews>
  <sheetFormatPr defaultRowHeight="15" x14ac:dyDescent="0.25"/>
  <cols>
    <col min="1" max="1" width="36.28515625" customWidth="1"/>
    <col min="2" max="2" width="19.85546875" style="330" customWidth="1"/>
    <col min="3" max="3" width="19.5703125" style="330" customWidth="1"/>
    <col min="4" max="4" width="20.42578125" style="330" customWidth="1"/>
  </cols>
  <sheetData>
    <row r="1" spans="1:4" ht="19.5" thickBot="1" x14ac:dyDescent="0.35">
      <c r="A1" s="127" t="s">
        <v>116</v>
      </c>
      <c r="B1" s="127"/>
      <c r="C1" s="127"/>
      <c r="D1" s="127"/>
    </row>
    <row r="2" spans="1:4" ht="19.5" thickBot="1" x14ac:dyDescent="0.3">
      <c r="A2" s="307">
        <v>3913</v>
      </c>
      <c r="B2" s="334" t="s">
        <v>102</v>
      </c>
      <c r="C2" s="310" t="s">
        <v>118</v>
      </c>
      <c r="D2" s="310" t="s">
        <v>119</v>
      </c>
    </row>
    <row r="3" spans="1:4" ht="15.75" thickBot="1" x14ac:dyDescent="0.3">
      <c r="A3" s="311" t="s">
        <v>198</v>
      </c>
      <c r="B3" s="335"/>
      <c r="C3" s="335"/>
      <c r="D3" s="313"/>
    </row>
    <row r="4" spans="1:4" ht="14.45" x14ac:dyDescent="0.3">
      <c r="A4" s="134" t="s">
        <v>122</v>
      </c>
      <c r="B4" s="349"/>
      <c r="C4" s="507"/>
      <c r="D4" s="507">
        <v>0</v>
      </c>
    </row>
    <row r="5" spans="1:4" x14ac:dyDescent="0.25">
      <c r="A5" s="138" t="s">
        <v>123</v>
      </c>
      <c r="B5" s="349"/>
      <c r="C5" s="351">
        <v>5000</v>
      </c>
      <c r="D5" s="351">
        <v>0</v>
      </c>
    </row>
    <row r="6" spans="1:4" x14ac:dyDescent="0.25">
      <c r="A6" s="138" t="s">
        <v>124</v>
      </c>
      <c r="B6" s="349"/>
      <c r="C6" s="351">
        <v>7976.7100000000009</v>
      </c>
      <c r="D6" s="351">
        <v>0</v>
      </c>
    </row>
    <row r="7" spans="1:4" x14ac:dyDescent="0.25">
      <c r="A7" s="138" t="s">
        <v>125</v>
      </c>
      <c r="B7" s="349"/>
      <c r="C7" s="351"/>
      <c r="D7" s="351">
        <v>0</v>
      </c>
    </row>
    <row r="8" spans="1:4" x14ac:dyDescent="0.25">
      <c r="A8" s="138" t="s">
        <v>149</v>
      </c>
      <c r="B8" s="349"/>
      <c r="C8" s="351"/>
      <c r="D8" s="351">
        <v>0</v>
      </c>
    </row>
    <row r="9" spans="1:4" ht="14.45" x14ac:dyDescent="0.3">
      <c r="A9" s="138" t="s">
        <v>127</v>
      </c>
      <c r="B9" s="349"/>
      <c r="C9" s="351"/>
      <c r="D9" s="351">
        <v>0</v>
      </c>
    </row>
    <row r="10" spans="1:4" ht="15.75" thickBot="1" x14ac:dyDescent="0.3">
      <c r="A10" s="138" t="s">
        <v>128</v>
      </c>
      <c r="B10" s="349"/>
      <c r="C10" s="351"/>
      <c r="D10" s="351">
        <v>0</v>
      </c>
    </row>
    <row r="11" spans="1:4" thickBot="1" x14ac:dyDescent="0.35">
      <c r="A11" s="148" t="s">
        <v>130</v>
      </c>
      <c r="B11" s="414"/>
      <c r="C11" s="414">
        <v>12976.710000000001</v>
      </c>
      <c r="D11" s="414">
        <v>0</v>
      </c>
    </row>
    <row r="12" spans="1:4" thickBot="1" x14ac:dyDescent="0.35">
      <c r="A12" s="1"/>
      <c r="B12" s="357"/>
      <c r="C12" s="357"/>
      <c r="D12" s="357"/>
    </row>
    <row r="13" spans="1:4" ht="15.75" thickBot="1" x14ac:dyDescent="0.3">
      <c r="A13" s="315" t="s">
        <v>1</v>
      </c>
      <c r="B13" s="359"/>
      <c r="C13" s="359"/>
      <c r="D13" s="422"/>
    </row>
    <row r="14" spans="1:4" x14ac:dyDescent="0.25">
      <c r="A14" s="156" t="s">
        <v>200</v>
      </c>
      <c r="B14" s="360">
        <v>50000</v>
      </c>
      <c r="C14" s="445">
        <v>0.95</v>
      </c>
      <c r="D14" s="445"/>
    </row>
    <row r="15" spans="1:4" x14ac:dyDescent="0.25">
      <c r="A15" s="162" t="s">
        <v>134</v>
      </c>
      <c r="B15" s="423"/>
      <c r="C15" s="363">
        <v>14026.05</v>
      </c>
      <c r="D15" s="363">
        <v>30000</v>
      </c>
    </row>
    <row r="16" spans="1:4" thickBot="1" x14ac:dyDescent="0.35">
      <c r="A16" s="162"/>
      <c r="B16" s="423"/>
      <c r="C16" s="363"/>
      <c r="D16" s="363"/>
    </row>
    <row r="17" spans="1:4" thickBot="1" x14ac:dyDescent="0.35">
      <c r="A17" s="165" t="s">
        <v>130</v>
      </c>
      <c r="B17" s="366">
        <f t="shared" ref="B17" si="0">SUM(B14:B16)</f>
        <v>50000</v>
      </c>
      <c r="C17" s="366">
        <v>14027</v>
      </c>
      <c r="D17" s="366">
        <v>30000</v>
      </c>
    </row>
    <row r="18" spans="1:4" thickBot="1" x14ac:dyDescent="0.35">
      <c r="A18" s="1"/>
      <c r="B18" s="357"/>
      <c r="C18" s="357"/>
      <c r="D18" s="357"/>
    </row>
    <row r="19" spans="1:4" ht="15.75" thickBot="1" x14ac:dyDescent="0.3">
      <c r="A19" s="316" t="s">
        <v>2</v>
      </c>
      <c r="B19" s="368"/>
      <c r="C19" s="368"/>
      <c r="D19" s="427"/>
    </row>
    <row r="20" spans="1:4" ht="15.75" thickBot="1" x14ac:dyDescent="0.3">
      <c r="A20" s="171" t="s">
        <v>135</v>
      </c>
      <c r="B20" s="369"/>
      <c r="C20" s="370">
        <v>0</v>
      </c>
      <c r="D20" s="370">
        <v>0</v>
      </c>
    </row>
    <row r="21" spans="1:4" thickBot="1" x14ac:dyDescent="0.35">
      <c r="A21" s="174" t="s">
        <v>130</v>
      </c>
      <c r="B21" s="372">
        <f t="shared" ref="B21" si="1">SUM(B20)</f>
        <v>0</v>
      </c>
      <c r="C21" s="372">
        <v>0</v>
      </c>
      <c r="D21" s="372">
        <v>0</v>
      </c>
    </row>
    <row r="22" spans="1:4" thickBot="1" x14ac:dyDescent="0.35">
      <c r="A22" s="1"/>
      <c r="B22" s="357"/>
      <c r="C22" s="357"/>
      <c r="D22" s="357"/>
    </row>
    <row r="23" spans="1:4" ht="15.75" thickBot="1" x14ac:dyDescent="0.3">
      <c r="A23" s="317" t="s">
        <v>136</v>
      </c>
      <c r="B23" s="374"/>
      <c r="C23" s="374"/>
      <c r="D23" s="429"/>
    </row>
    <row r="24" spans="1:4" ht="15.75" thickBot="1" x14ac:dyDescent="0.3">
      <c r="A24" s="179" t="s">
        <v>137</v>
      </c>
      <c r="B24" s="510">
        <v>125000</v>
      </c>
      <c r="C24" s="377">
        <v>101930.54</v>
      </c>
      <c r="D24" s="377">
        <v>255000</v>
      </c>
    </row>
    <row r="25" spans="1:4" thickBot="1" x14ac:dyDescent="0.35">
      <c r="A25" s="182" t="s">
        <v>130</v>
      </c>
      <c r="B25" s="378">
        <f t="shared" ref="B25" si="2">SUM(B24)</f>
        <v>125000</v>
      </c>
      <c r="C25" s="379">
        <v>101930.54</v>
      </c>
      <c r="D25" s="379">
        <v>255000</v>
      </c>
    </row>
    <row r="26" spans="1:4" thickBot="1" x14ac:dyDescent="0.35">
      <c r="A26" s="1"/>
      <c r="B26" s="357"/>
      <c r="C26" s="357"/>
      <c r="D26" s="357"/>
    </row>
    <row r="27" spans="1:4" thickBot="1" x14ac:dyDescent="0.35">
      <c r="A27" s="318" t="s">
        <v>3</v>
      </c>
      <c r="B27" s="380"/>
      <c r="C27" s="380"/>
      <c r="D27" s="432"/>
    </row>
    <row r="28" spans="1:4" ht="15.75" thickBot="1" x14ac:dyDescent="0.3">
      <c r="A28" s="320" t="s">
        <v>201</v>
      </c>
      <c r="B28" s="508"/>
      <c r="C28" s="509">
        <v>0</v>
      </c>
      <c r="D28" s="509">
        <v>0</v>
      </c>
    </row>
    <row r="29" spans="1:4" thickBot="1" x14ac:dyDescent="0.35">
      <c r="A29" s="320" t="s">
        <v>202</v>
      </c>
      <c r="B29" s="508"/>
      <c r="C29" s="509">
        <v>0</v>
      </c>
      <c r="D29" s="509">
        <v>0</v>
      </c>
    </row>
    <row r="30" spans="1:4" thickBot="1" x14ac:dyDescent="0.35">
      <c r="A30" s="320" t="s">
        <v>203</v>
      </c>
      <c r="B30" s="508"/>
      <c r="C30" s="509">
        <v>0</v>
      </c>
      <c r="D30" s="509">
        <v>0</v>
      </c>
    </row>
    <row r="31" spans="1:4" thickBot="1" x14ac:dyDescent="0.35">
      <c r="A31" s="188" t="s">
        <v>130</v>
      </c>
      <c r="B31" s="393">
        <f>SUM(B28:B30)</f>
        <v>0</v>
      </c>
      <c r="C31" s="393">
        <v>0</v>
      </c>
      <c r="D31" s="393">
        <v>0</v>
      </c>
    </row>
    <row r="32" spans="1:4" thickBot="1" x14ac:dyDescent="0.35">
      <c r="A32" s="1"/>
      <c r="B32" s="357"/>
      <c r="C32" s="357"/>
      <c r="D32" s="357"/>
    </row>
    <row r="33" spans="1:4" ht="15.75" thickBot="1" x14ac:dyDescent="0.3">
      <c r="A33" s="321" t="s">
        <v>5</v>
      </c>
      <c r="B33" s="395"/>
      <c r="C33" s="395"/>
      <c r="D33" s="437"/>
    </row>
    <row r="34" spans="1:4" x14ac:dyDescent="0.25">
      <c r="A34" s="195" t="s">
        <v>204</v>
      </c>
      <c r="B34" s="511">
        <v>225000</v>
      </c>
      <c r="C34" s="398">
        <v>61694.479999999996</v>
      </c>
      <c r="D34" s="398">
        <v>125000</v>
      </c>
    </row>
    <row r="35" spans="1:4" x14ac:dyDescent="0.25">
      <c r="A35" s="198" t="s">
        <v>153</v>
      </c>
      <c r="B35" s="512"/>
      <c r="C35" s="513"/>
      <c r="D35" s="513"/>
    </row>
    <row r="36" spans="1:4" thickBot="1" x14ac:dyDescent="0.35">
      <c r="A36" s="202" t="s">
        <v>130</v>
      </c>
      <c r="B36" s="514">
        <f t="shared" ref="B36" si="3">SUM(B34:B35)</f>
        <v>225000</v>
      </c>
      <c r="C36" s="515">
        <v>61694.479999999996</v>
      </c>
      <c r="D36" s="515">
        <v>125000</v>
      </c>
    </row>
    <row r="37" spans="1:4" thickBot="1" x14ac:dyDescent="0.35">
      <c r="A37" s="1"/>
      <c r="B37" s="357"/>
      <c r="C37" s="357"/>
      <c r="D37" s="357"/>
    </row>
    <row r="38" spans="1:4" thickBot="1" x14ac:dyDescent="0.35">
      <c r="A38" s="322" t="s">
        <v>13</v>
      </c>
      <c r="B38" s="404"/>
      <c r="C38" s="404"/>
      <c r="D38" s="438"/>
    </row>
    <row r="39" spans="1:4" thickBot="1" x14ac:dyDescent="0.35">
      <c r="A39" s="323"/>
      <c r="B39" s="406"/>
      <c r="C39" s="407"/>
      <c r="D39" s="407">
        <v>0</v>
      </c>
    </row>
    <row r="40" spans="1:4" thickBot="1" x14ac:dyDescent="0.35">
      <c r="A40" s="324" t="s">
        <v>130</v>
      </c>
      <c r="B40" s="408">
        <f t="shared" ref="B40" si="4">SUM(B39)</f>
        <v>0</v>
      </c>
      <c r="C40" s="409">
        <v>0</v>
      </c>
      <c r="D40" s="409">
        <v>0</v>
      </c>
    </row>
    <row r="41" spans="1:4" thickBot="1" x14ac:dyDescent="0.35">
      <c r="A41" s="1"/>
      <c r="B41" s="357"/>
      <c r="C41" s="357"/>
      <c r="D41" s="357"/>
    </row>
    <row r="42" spans="1:4" ht="19.5" thickBot="1" x14ac:dyDescent="0.35">
      <c r="A42" s="206" t="s">
        <v>10</v>
      </c>
      <c r="B42" s="411">
        <f>B11+B17+B21+B25+B31+B36+B40</f>
        <v>400000</v>
      </c>
      <c r="C42" s="411">
        <f t="shared" ref="C42:D42" si="5">C11+C17+C21+C25+C31+C36+C40</f>
        <v>190628.72999999998</v>
      </c>
      <c r="D42" s="411">
        <f t="shared" si="5"/>
        <v>410000</v>
      </c>
    </row>
    <row r="43" spans="1:4" ht="22.5" customHeight="1" x14ac:dyDescent="0.25">
      <c r="A43" s="325" t="s">
        <v>215</v>
      </c>
      <c r="B43" s="326"/>
      <c r="C43" s="326"/>
      <c r="D43" s="336"/>
    </row>
    <row r="44" spans="1:4" ht="66.75" customHeight="1" x14ac:dyDescent="0.25">
      <c r="A44" s="584" t="s">
        <v>216</v>
      </c>
      <c r="B44" s="584"/>
      <c r="C44" s="584"/>
      <c r="D44" s="584"/>
    </row>
    <row r="45" spans="1:4" ht="26.45" customHeight="1" x14ac:dyDescent="0.25">
      <c r="A45" s="563" t="s">
        <v>257</v>
      </c>
      <c r="B45" s="563"/>
      <c r="C45" s="563"/>
      <c r="D45" s="563"/>
    </row>
    <row r="46" spans="1:4" x14ac:dyDescent="0.25">
      <c r="B46"/>
      <c r="C46"/>
      <c r="D46" s="329"/>
    </row>
    <row r="47" spans="1:4" x14ac:dyDescent="0.25">
      <c r="A47" s="328"/>
      <c r="B47" s="327"/>
      <c r="C47" s="327"/>
      <c r="D47" s="329"/>
    </row>
    <row r="48" spans="1:4" x14ac:dyDescent="0.25">
      <c r="A48" s="222"/>
      <c r="B48" s="329"/>
      <c r="C48" s="329"/>
      <c r="D48" s="329"/>
    </row>
    <row r="49" spans="1:4" x14ac:dyDescent="0.25">
      <c r="A49" s="18"/>
      <c r="B49" s="329"/>
      <c r="C49" s="329"/>
      <c r="D49" s="329"/>
    </row>
  </sheetData>
  <mergeCells count="2">
    <mergeCell ref="A44:D44"/>
    <mergeCell ref="A45:D45"/>
  </mergeCells>
  <pageMargins left="0.7" right="0.7" top="0.78740157499999996" bottom="0.78740157499999996" header="0.3" footer="0.3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9" workbookViewId="0">
      <selection activeCell="E48" sqref="E48"/>
    </sheetView>
  </sheetViews>
  <sheetFormatPr defaultRowHeight="15" x14ac:dyDescent="0.25"/>
  <cols>
    <col min="1" max="1" width="36.5703125" customWidth="1"/>
    <col min="2" max="2" width="19.5703125" style="330" customWidth="1"/>
    <col min="3" max="4" width="22.5703125" style="330" customWidth="1"/>
  </cols>
  <sheetData>
    <row r="1" spans="1:4" ht="19.5" thickBot="1" x14ac:dyDescent="0.35">
      <c r="A1" s="127" t="s">
        <v>116</v>
      </c>
      <c r="B1" s="127"/>
      <c r="C1" s="127"/>
      <c r="D1" s="127"/>
    </row>
    <row r="2" spans="1:4" ht="19.5" thickBot="1" x14ac:dyDescent="0.3">
      <c r="A2" s="307">
        <v>3940</v>
      </c>
      <c r="B2" s="334" t="s">
        <v>102</v>
      </c>
      <c r="C2" s="310" t="s">
        <v>118</v>
      </c>
      <c r="D2" s="310" t="s">
        <v>119</v>
      </c>
    </row>
    <row r="3" spans="1:4" ht="15.75" thickBot="1" x14ac:dyDescent="0.3">
      <c r="A3" s="311" t="s">
        <v>198</v>
      </c>
      <c r="B3" s="335"/>
      <c r="C3" s="335"/>
      <c r="D3" s="313"/>
    </row>
    <row r="4" spans="1:4" ht="14.45" x14ac:dyDescent="0.3">
      <c r="A4" s="134" t="s">
        <v>122</v>
      </c>
      <c r="B4" s="349"/>
      <c r="C4" s="507"/>
      <c r="D4" s="507">
        <v>0</v>
      </c>
    </row>
    <row r="5" spans="1:4" x14ac:dyDescent="0.25">
      <c r="A5" s="138" t="s">
        <v>123</v>
      </c>
      <c r="B5" s="349"/>
      <c r="C5" s="351">
        <v>5000</v>
      </c>
      <c r="D5" s="351">
        <v>0</v>
      </c>
    </row>
    <row r="6" spans="1:4" x14ac:dyDescent="0.25">
      <c r="A6" s="138" t="s">
        <v>124</v>
      </c>
      <c r="B6" s="349"/>
      <c r="C6" s="351">
        <v>2102.83</v>
      </c>
      <c r="D6" s="351">
        <v>0</v>
      </c>
    </row>
    <row r="7" spans="1:4" x14ac:dyDescent="0.25">
      <c r="A7" s="138" t="s">
        <v>125</v>
      </c>
      <c r="B7" s="349"/>
      <c r="C7" s="351"/>
      <c r="D7" s="351">
        <v>0</v>
      </c>
    </row>
    <row r="8" spans="1:4" x14ac:dyDescent="0.25">
      <c r="A8" s="138" t="s">
        <v>149</v>
      </c>
      <c r="B8" s="349"/>
      <c r="C8" s="351"/>
      <c r="D8" s="351">
        <v>0</v>
      </c>
    </row>
    <row r="9" spans="1:4" ht="14.45" x14ac:dyDescent="0.3">
      <c r="A9" s="138" t="s">
        <v>127</v>
      </c>
      <c r="B9" s="349"/>
      <c r="C9" s="351"/>
      <c r="D9" s="351">
        <v>0</v>
      </c>
    </row>
    <row r="10" spans="1:4" ht="15.75" thickBot="1" x14ac:dyDescent="0.3">
      <c r="A10" s="138" t="s">
        <v>128</v>
      </c>
      <c r="B10" s="349"/>
      <c r="C10" s="351"/>
      <c r="D10" s="351">
        <v>0</v>
      </c>
    </row>
    <row r="11" spans="1:4" thickBot="1" x14ac:dyDescent="0.35">
      <c r="A11" s="148" t="s">
        <v>130</v>
      </c>
      <c r="B11" s="414"/>
      <c r="C11" s="414">
        <v>7102.83</v>
      </c>
      <c r="D11" s="414">
        <v>0</v>
      </c>
    </row>
    <row r="12" spans="1:4" thickBot="1" x14ac:dyDescent="0.35">
      <c r="A12" s="1"/>
      <c r="B12" s="357"/>
      <c r="C12" s="357"/>
      <c r="D12" s="357"/>
    </row>
    <row r="13" spans="1:4" ht="15.75" thickBot="1" x14ac:dyDescent="0.3">
      <c r="A13" s="315" t="s">
        <v>1</v>
      </c>
      <c r="B13" s="359"/>
      <c r="C13" s="359"/>
      <c r="D13" s="422"/>
    </row>
    <row r="14" spans="1:4" x14ac:dyDescent="0.25">
      <c r="A14" s="156" t="s">
        <v>200</v>
      </c>
      <c r="B14" s="360">
        <v>80000</v>
      </c>
      <c r="C14" s="445">
        <v>622.99</v>
      </c>
      <c r="D14" s="445"/>
    </row>
    <row r="15" spans="1:4" x14ac:dyDescent="0.25">
      <c r="A15" s="162" t="s">
        <v>134</v>
      </c>
      <c r="B15" s="423"/>
      <c r="C15" s="363">
        <v>36875.39</v>
      </c>
      <c r="D15" s="363">
        <v>80000</v>
      </c>
    </row>
    <row r="16" spans="1:4" thickBot="1" x14ac:dyDescent="0.35">
      <c r="A16" s="162"/>
      <c r="B16" s="423"/>
      <c r="C16" s="363"/>
      <c r="D16" s="363"/>
    </row>
    <row r="17" spans="1:4" thickBot="1" x14ac:dyDescent="0.35">
      <c r="A17" s="165" t="s">
        <v>130</v>
      </c>
      <c r="B17" s="366">
        <v>80000</v>
      </c>
      <c r="C17" s="366">
        <v>37498.379999999997</v>
      </c>
      <c r="D17" s="366">
        <v>80000</v>
      </c>
    </row>
    <row r="18" spans="1:4" thickBot="1" x14ac:dyDescent="0.35">
      <c r="A18" s="1"/>
      <c r="B18" s="357"/>
      <c r="C18" s="357"/>
      <c r="D18" s="357"/>
    </row>
    <row r="19" spans="1:4" ht="15.75" thickBot="1" x14ac:dyDescent="0.3">
      <c r="A19" s="316" t="s">
        <v>2</v>
      </c>
      <c r="B19" s="368"/>
      <c r="C19" s="368"/>
      <c r="D19" s="427"/>
    </row>
    <row r="20" spans="1:4" ht="15.75" thickBot="1" x14ac:dyDescent="0.3">
      <c r="A20" s="171" t="s">
        <v>135</v>
      </c>
      <c r="B20" s="369"/>
      <c r="C20" s="370">
        <v>0</v>
      </c>
      <c r="D20" s="370">
        <v>0</v>
      </c>
    </row>
    <row r="21" spans="1:4" thickBot="1" x14ac:dyDescent="0.35">
      <c r="A21" s="174" t="s">
        <v>130</v>
      </c>
      <c r="B21" s="372">
        <v>0</v>
      </c>
      <c r="C21" s="372">
        <v>0</v>
      </c>
      <c r="D21" s="372">
        <v>0</v>
      </c>
    </row>
    <row r="22" spans="1:4" thickBot="1" x14ac:dyDescent="0.35">
      <c r="A22" s="1"/>
      <c r="B22" s="357"/>
      <c r="C22" s="357"/>
      <c r="D22" s="357"/>
    </row>
    <row r="23" spans="1:4" ht="15.75" thickBot="1" x14ac:dyDescent="0.3">
      <c r="A23" s="317" t="s">
        <v>136</v>
      </c>
      <c r="B23" s="374"/>
      <c r="C23" s="374"/>
      <c r="D23" s="429"/>
    </row>
    <row r="24" spans="1:4" ht="15.75" thickBot="1" x14ac:dyDescent="0.3">
      <c r="A24" s="179" t="s">
        <v>137</v>
      </c>
      <c r="B24" s="510">
        <v>100000</v>
      </c>
      <c r="C24" s="377">
        <v>74332.62</v>
      </c>
      <c r="D24" s="377">
        <v>125000</v>
      </c>
    </row>
    <row r="25" spans="1:4" thickBot="1" x14ac:dyDescent="0.35">
      <c r="A25" s="182" t="s">
        <v>130</v>
      </c>
      <c r="B25" s="378">
        <v>100000</v>
      </c>
      <c r="C25" s="379">
        <v>74332.62</v>
      </c>
      <c r="D25" s="379">
        <v>125000</v>
      </c>
    </row>
    <row r="26" spans="1:4" thickBot="1" x14ac:dyDescent="0.35">
      <c r="A26" s="1"/>
      <c r="B26" s="357"/>
      <c r="C26" s="357"/>
      <c r="D26" s="357"/>
    </row>
    <row r="27" spans="1:4" thickBot="1" x14ac:dyDescent="0.35">
      <c r="A27" s="318" t="s">
        <v>3</v>
      </c>
      <c r="B27" s="380"/>
      <c r="C27" s="380"/>
      <c r="D27" s="432"/>
    </row>
    <row r="28" spans="1:4" ht="15.75" thickBot="1" x14ac:dyDescent="0.3">
      <c r="A28" s="320" t="s">
        <v>201</v>
      </c>
      <c r="B28" s="508">
        <v>570000</v>
      </c>
      <c r="C28" s="509">
        <v>527619.81999999995</v>
      </c>
      <c r="D28" s="509">
        <v>545000</v>
      </c>
    </row>
    <row r="29" spans="1:4" thickBot="1" x14ac:dyDescent="0.35">
      <c r="A29" s="320" t="s">
        <v>202</v>
      </c>
      <c r="B29" s="508">
        <v>520000</v>
      </c>
      <c r="C29" s="509">
        <v>487916.46</v>
      </c>
      <c r="D29" s="509">
        <v>535000</v>
      </c>
    </row>
    <row r="30" spans="1:4" thickBot="1" x14ac:dyDescent="0.35">
      <c r="A30" s="320" t="s">
        <v>203</v>
      </c>
      <c r="B30" s="508">
        <v>60000</v>
      </c>
      <c r="C30" s="509">
        <v>-279.12</v>
      </c>
      <c r="D30" s="509">
        <v>70000</v>
      </c>
    </row>
    <row r="31" spans="1:4" thickBot="1" x14ac:dyDescent="0.35">
      <c r="A31" s="188" t="s">
        <v>130</v>
      </c>
      <c r="B31" s="393">
        <v>1150000</v>
      </c>
      <c r="C31" s="393">
        <v>1015257.16</v>
      </c>
      <c r="D31" s="393">
        <v>1150000</v>
      </c>
    </row>
    <row r="32" spans="1:4" thickBot="1" x14ac:dyDescent="0.35">
      <c r="A32" s="1"/>
      <c r="B32" s="357"/>
      <c r="C32" s="357"/>
      <c r="D32" s="357"/>
    </row>
    <row r="33" spans="1:4" ht="15.75" thickBot="1" x14ac:dyDescent="0.3">
      <c r="A33" s="321" t="s">
        <v>5</v>
      </c>
      <c r="B33" s="395"/>
      <c r="C33" s="395"/>
      <c r="D33" s="437"/>
    </row>
    <row r="34" spans="1:4" x14ac:dyDescent="0.25">
      <c r="A34" s="195" t="s">
        <v>204</v>
      </c>
      <c r="B34" s="511">
        <v>270000</v>
      </c>
      <c r="C34" s="398">
        <v>148563.94</v>
      </c>
      <c r="D34" s="398">
        <v>205000</v>
      </c>
    </row>
    <row r="35" spans="1:4" x14ac:dyDescent="0.25">
      <c r="A35" s="198" t="s">
        <v>153</v>
      </c>
      <c r="B35" s="512"/>
      <c r="C35" s="513">
        <v>-1000</v>
      </c>
      <c r="D35" s="513"/>
    </row>
    <row r="36" spans="1:4" thickBot="1" x14ac:dyDescent="0.35">
      <c r="A36" s="202" t="s">
        <v>130</v>
      </c>
      <c r="B36" s="514">
        <v>270000</v>
      </c>
      <c r="C36" s="515">
        <v>147563.94</v>
      </c>
      <c r="D36" s="515">
        <v>205000</v>
      </c>
    </row>
    <row r="37" spans="1:4" thickBot="1" x14ac:dyDescent="0.35">
      <c r="A37" s="1"/>
      <c r="B37" s="357"/>
      <c r="C37" s="357"/>
      <c r="D37" s="357"/>
    </row>
    <row r="38" spans="1:4" thickBot="1" x14ac:dyDescent="0.35">
      <c r="A38" s="322" t="s">
        <v>13</v>
      </c>
      <c r="B38" s="404"/>
      <c r="C38" s="404"/>
      <c r="D38" s="438"/>
    </row>
    <row r="39" spans="1:4" thickBot="1" x14ac:dyDescent="0.35">
      <c r="A39" s="323"/>
      <c r="B39" s="406"/>
      <c r="C39" s="407"/>
      <c r="D39" s="407">
        <v>0</v>
      </c>
    </row>
    <row r="40" spans="1:4" thickBot="1" x14ac:dyDescent="0.35">
      <c r="A40" s="324" t="s">
        <v>130</v>
      </c>
      <c r="B40" s="408">
        <v>0</v>
      </c>
      <c r="C40" s="409">
        <v>0</v>
      </c>
      <c r="D40" s="409">
        <v>0</v>
      </c>
    </row>
    <row r="41" spans="1:4" thickBot="1" x14ac:dyDescent="0.35">
      <c r="A41" s="1"/>
      <c r="B41" s="357"/>
      <c r="C41" s="357"/>
      <c r="D41" s="357"/>
    </row>
    <row r="42" spans="1:4" ht="19.5" thickBot="1" x14ac:dyDescent="0.35">
      <c r="A42" s="206" t="s">
        <v>10</v>
      </c>
      <c r="B42" s="411">
        <f t="shared" ref="B42:C42" si="0">B40+B36+B31+B25+B21+B17+B11</f>
        <v>1600000</v>
      </c>
      <c r="C42" s="411">
        <f t="shared" si="0"/>
        <v>1281754.9300000002</v>
      </c>
      <c r="D42" s="411">
        <f>D40+D36+D31+D25+D21+D17+D11</f>
        <v>1560000</v>
      </c>
    </row>
    <row r="43" spans="1:4" x14ac:dyDescent="0.25">
      <c r="A43" s="1"/>
      <c r="B43" s="314"/>
      <c r="C43" s="314"/>
      <c r="D43" s="314"/>
    </row>
    <row r="44" spans="1:4" ht="33" customHeight="1" x14ac:dyDescent="0.25">
      <c r="A44" s="563" t="s">
        <v>258</v>
      </c>
      <c r="B44" s="563"/>
      <c r="C44" s="563"/>
      <c r="D44" s="563"/>
    </row>
    <row r="45" spans="1:4" x14ac:dyDescent="0.25">
      <c r="B45"/>
      <c r="C45"/>
      <c r="D45" s="329"/>
    </row>
    <row r="46" spans="1:4" x14ac:dyDescent="0.25">
      <c r="B46"/>
      <c r="C46"/>
      <c r="D46" s="329"/>
    </row>
    <row r="47" spans="1:4" x14ac:dyDescent="0.25">
      <c r="B47"/>
      <c r="C47"/>
      <c r="D47" s="329"/>
    </row>
    <row r="48" spans="1:4" x14ac:dyDescent="0.25">
      <c r="A48" s="328"/>
      <c r="B48" s="327"/>
      <c r="C48" s="327"/>
      <c r="D48" s="329"/>
    </row>
    <row r="49" spans="1:4" x14ac:dyDescent="0.25">
      <c r="A49" s="222"/>
      <c r="B49" s="329"/>
      <c r="C49" s="329"/>
      <c r="D49" s="329"/>
    </row>
    <row r="50" spans="1:4" x14ac:dyDescent="0.25">
      <c r="A50" s="18"/>
      <c r="B50" s="329"/>
      <c r="C50" s="329"/>
      <c r="D50" s="329"/>
    </row>
  </sheetData>
  <mergeCells count="1">
    <mergeCell ref="A44:D44"/>
  </mergeCells>
  <pageMargins left="0.7" right="0.7" top="0.78740157499999996" bottom="0.78740157499999996" header="0.3" footer="0.3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13" zoomScale="90" zoomScaleNormal="90" workbookViewId="0">
      <selection activeCell="F43" sqref="F43"/>
    </sheetView>
  </sheetViews>
  <sheetFormatPr defaultRowHeight="15" outlineLevelCol="1" x14ac:dyDescent="0.25"/>
  <cols>
    <col min="1" max="1" width="44.28515625" customWidth="1"/>
    <col min="2" max="3" width="16.42578125" style="330" customWidth="1" outlineLevel="1"/>
    <col min="4" max="4" width="16.28515625" style="330" customWidth="1" outlineLevel="1"/>
  </cols>
  <sheetData>
    <row r="1" spans="1:4" ht="24" thickBot="1" x14ac:dyDescent="0.4">
      <c r="A1" s="337" t="s">
        <v>217</v>
      </c>
      <c r="B1" s="412"/>
      <c r="C1" s="412"/>
      <c r="D1" s="413"/>
    </row>
    <row r="2" spans="1:4" s="344" customFormat="1" ht="78.75" customHeight="1" thickBot="1" x14ac:dyDescent="0.3">
      <c r="A2" s="341" t="s">
        <v>222</v>
      </c>
      <c r="B2" s="334" t="s">
        <v>219</v>
      </c>
      <c r="C2" s="342" t="s">
        <v>223</v>
      </c>
      <c r="D2" s="343" t="s">
        <v>224</v>
      </c>
    </row>
    <row r="3" spans="1:4" ht="15.75" thickBot="1" x14ac:dyDescent="0.3">
      <c r="A3" s="311" t="s">
        <v>120</v>
      </c>
      <c r="B3" s="335"/>
      <c r="C3" s="335"/>
      <c r="D3" s="313" t="s">
        <v>225</v>
      </c>
    </row>
    <row r="4" spans="1:4" ht="14.45" x14ac:dyDescent="0.3">
      <c r="A4" s="134" t="s">
        <v>122</v>
      </c>
      <c r="B4" s="348">
        <v>0</v>
      </c>
      <c r="C4" s="348">
        <v>2932081</v>
      </c>
      <c r="D4" s="347">
        <v>3595030</v>
      </c>
    </row>
    <row r="5" spans="1:4" x14ac:dyDescent="0.25">
      <c r="A5" s="138" t="s">
        <v>123</v>
      </c>
      <c r="B5" s="351">
        <v>0</v>
      </c>
      <c r="C5" s="351">
        <v>428670</v>
      </c>
      <c r="D5" s="350">
        <v>484000</v>
      </c>
    </row>
    <row r="6" spans="1:4" x14ac:dyDescent="0.25">
      <c r="A6" s="138" t="s">
        <v>124</v>
      </c>
      <c r="B6" s="351">
        <v>0</v>
      </c>
      <c r="C6" s="351">
        <v>1280412.2999999998</v>
      </c>
      <c r="D6" s="350">
        <v>1485582.7260000003</v>
      </c>
    </row>
    <row r="7" spans="1:4" x14ac:dyDescent="0.25">
      <c r="A7" s="138" t="s">
        <v>125</v>
      </c>
      <c r="B7" s="351">
        <v>0</v>
      </c>
      <c r="C7" s="351">
        <v>172495</v>
      </c>
      <c r="D7" s="350">
        <v>170000</v>
      </c>
    </row>
    <row r="8" spans="1:4" x14ac:dyDescent="0.25">
      <c r="A8" s="138" t="s">
        <v>149</v>
      </c>
      <c r="B8" s="351">
        <v>0</v>
      </c>
      <c r="C8" s="351"/>
      <c r="D8" s="350">
        <v>58514.000000000007</v>
      </c>
    </row>
    <row r="9" spans="1:4" ht="14.45" x14ac:dyDescent="0.3">
      <c r="A9" s="138" t="s">
        <v>127</v>
      </c>
      <c r="B9" s="351">
        <v>0</v>
      </c>
      <c r="C9" s="351">
        <v>51040</v>
      </c>
      <c r="D9" s="350">
        <v>64000</v>
      </c>
    </row>
    <row r="10" spans="1:4" ht="15.75" thickBot="1" x14ac:dyDescent="0.3">
      <c r="A10" s="138" t="s">
        <v>128</v>
      </c>
      <c r="B10" s="354">
        <v>0</v>
      </c>
      <c r="C10" s="354">
        <v>284786</v>
      </c>
      <c r="D10" s="353">
        <v>234685</v>
      </c>
    </row>
    <row r="11" spans="1:4" thickBot="1" x14ac:dyDescent="0.35">
      <c r="A11" s="148" t="s">
        <v>130</v>
      </c>
      <c r="B11" s="414">
        <v>7066746</v>
      </c>
      <c r="C11" s="414">
        <v>5149484.3</v>
      </c>
      <c r="D11" s="356">
        <f>D4+D5+D6+D7+D8+D9+D10</f>
        <v>6091811.7259999998</v>
      </c>
    </row>
    <row r="12" spans="1:4" thickBot="1" x14ac:dyDescent="0.35">
      <c r="A12" s="1"/>
      <c r="B12" s="357"/>
      <c r="C12" s="357"/>
      <c r="D12" s="357"/>
    </row>
    <row r="13" spans="1:4" ht="15.75" thickBot="1" x14ac:dyDescent="0.3">
      <c r="A13" s="315" t="s">
        <v>1</v>
      </c>
      <c r="B13" s="359"/>
      <c r="C13" s="359"/>
      <c r="D13" s="283"/>
    </row>
    <row r="14" spans="1:4" x14ac:dyDescent="0.25">
      <c r="A14" s="159" t="s">
        <v>200</v>
      </c>
      <c r="B14" s="361"/>
      <c r="C14" s="361"/>
      <c r="D14" s="361">
        <v>0</v>
      </c>
    </row>
    <row r="15" spans="1:4" x14ac:dyDescent="0.25">
      <c r="A15" s="162" t="s">
        <v>134</v>
      </c>
      <c r="B15" s="363">
        <v>0</v>
      </c>
      <c r="C15" s="363">
        <v>515133.7900000001</v>
      </c>
      <c r="D15" s="363">
        <v>655000</v>
      </c>
    </row>
    <row r="16" spans="1:4" thickBot="1" x14ac:dyDescent="0.35">
      <c r="A16" s="162"/>
      <c r="B16" s="363"/>
      <c r="C16" s="363"/>
      <c r="D16" s="363">
        <v>100000</v>
      </c>
    </row>
    <row r="17" spans="1:4" thickBot="1" x14ac:dyDescent="0.35">
      <c r="A17" s="165" t="s">
        <v>130</v>
      </c>
      <c r="B17" s="366">
        <v>0</v>
      </c>
      <c r="C17" s="366">
        <v>515133.7900000001</v>
      </c>
      <c r="D17" s="366">
        <f>D15+D16</f>
        <v>755000</v>
      </c>
    </row>
    <row r="18" spans="1:4" thickBot="1" x14ac:dyDescent="0.35">
      <c r="A18" s="1"/>
      <c r="B18" s="357"/>
      <c r="C18" s="357"/>
      <c r="D18" s="357"/>
    </row>
    <row r="19" spans="1:4" ht="15.75" thickBot="1" x14ac:dyDescent="0.3">
      <c r="A19" s="316" t="s">
        <v>2</v>
      </c>
      <c r="B19" s="368"/>
      <c r="C19" s="368"/>
      <c r="D19" s="284"/>
    </row>
    <row r="20" spans="1:4" ht="15.75" thickBot="1" x14ac:dyDescent="0.3">
      <c r="A20" s="171" t="s">
        <v>135</v>
      </c>
      <c r="B20" s="370">
        <v>0</v>
      </c>
      <c r="C20" s="370">
        <v>72</v>
      </c>
      <c r="D20" s="370">
        <v>2000</v>
      </c>
    </row>
    <row r="21" spans="1:4" thickBot="1" x14ac:dyDescent="0.35">
      <c r="A21" s="174" t="s">
        <v>130</v>
      </c>
      <c r="B21" s="372">
        <v>0</v>
      </c>
      <c r="C21" s="372">
        <v>72</v>
      </c>
      <c r="D21" s="372">
        <v>2000</v>
      </c>
    </row>
    <row r="22" spans="1:4" thickBot="1" x14ac:dyDescent="0.35">
      <c r="A22" s="1"/>
      <c r="B22" s="357"/>
      <c r="C22" s="357"/>
      <c r="D22" s="357"/>
    </row>
    <row r="23" spans="1:4" ht="15.75" thickBot="1" x14ac:dyDescent="0.3">
      <c r="A23" s="317" t="s">
        <v>136</v>
      </c>
      <c r="B23" s="374"/>
      <c r="C23" s="374"/>
      <c r="D23" s="415"/>
    </row>
    <row r="24" spans="1:4" ht="15.75" thickBot="1" x14ac:dyDescent="0.3">
      <c r="A24" s="179" t="s">
        <v>137</v>
      </c>
      <c r="B24" s="377">
        <v>0</v>
      </c>
      <c r="C24" s="377">
        <v>47026</v>
      </c>
      <c r="D24" s="377">
        <v>100000</v>
      </c>
    </row>
    <row r="25" spans="1:4" thickBot="1" x14ac:dyDescent="0.35">
      <c r="A25" s="182" t="s">
        <v>130</v>
      </c>
      <c r="B25" s="379">
        <v>0</v>
      </c>
      <c r="C25" s="379">
        <v>47026</v>
      </c>
      <c r="D25" s="379">
        <f>D24</f>
        <v>100000</v>
      </c>
    </row>
    <row r="26" spans="1:4" thickBot="1" x14ac:dyDescent="0.35">
      <c r="A26" s="1"/>
      <c r="B26" s="357"/>
      <c r="C26" s="357"/>
      <c r="D26" s="357"/>
    </row>
    <row r="27" spans="1:4" thickBot="1" x14ac:dyDescent="0.35">
      <c r="A27" s="319" t="s">
        <v>3</v>
      </c>
      <c r="B27" s="380"/>
      <c r="C27" s="380"/>
      <c r="D27" s="416"/>
    </row>
    <row r="28" spans="1:4" x14ac:dyDescent="0.25">
      <c r="A28" s="382" t="s">
        <v>201</v>
      </c>
      <c r="B28" s="383">
        <v>0</v>
      </c>
      <c r="C28" s="384">
        <v>0</v>
      </c>
      <c r="D28" s="385">
        <v>0</v>
      </c>
    </row>
    <row r="29" spans="1:4" ht="14.45" x14ac:dyDescent="0.3">
      <c r="A29" s="386" t="s">
        <v>202</v>
      </c>
      <c r="B29" s="387">
        <v>0</v>
      </c>
      <c r="C29" s="388">
        <v>0</v>
      </c>
      <c r="D29" s="388">
        <v>0</v>
      </c>
    </row>
    <row r="30" spans="1:4" thickBot="1" x14ac:dyDescent="0.35">
      <c r="A30" s="389" t="s">
        <v>203</v>
      </c>
      <c r="B30" s="390">
        <v>0</v>
      </c>
      <c r="C30" s="391">
        <v>0</v>
      </c>
      <c r="D30" s="391">
        <v>0</v>
      </c>
    </row>
    <row r="31" spans="1:4" thickBot="1" x14ac:dyDescent="0.35">
      <c r="A31" s="279" t="s">
        <v>130</v>
      </c>
      <c r="B31" s="392">
        <v>0</v>
      </c>
      <c r="C31" s="393">
        <v>0</v>
      </c>
      <c r="D31" s="393">
        <v>0</v>
      </c>
    </row>
    <row r="32" spans="1:4" thickBot="1" x14ac:dyDescent="0.35">
      <c r="A32" s="1"/>
      <c r="B32" s="357"/>
      <c r="C32" s="357"/>
      <c r="D32" s="357"/>
    </row>
    <row r="33" spans="1:4" ht="15.75" thickBot="1" x14ac:dyDescent="0.3">
      <c r="A33" s="321" t="s">
        <v>5</v>
      </c>
      <c r="B33" s="395"/>
      <c r="C33" s="395"/>
      <c r="D33" s="417"/>
    </row>
    <row r="34" spans="1:4" x14ac:dyDescent="0.25">
      <c r="A34" s="195" t="s">
        <v>204</v>
      </c>
      <c r="B34" s="398">
        <v>685000</v>
      </c>
      <c r="C34" s="398">
        <v>465457.35</v>
      </c>
      <c r="D34" s="397">
        <v>900000</v>
      </c>
    </row>
    <row r="35" spans="1:4" ht="15.75" thickBot="1" x14ac:dyDescent="0.3">
      <c r="A35" s="217" t="s">
        <v>153</v>
      </c>
      <c r="B35" s="400"/>
      <c r="C35" s="400"/>
      <c r="D35" s="399">
        <v>0</v>
      </c>
    </row>
    <row r="36" spans="1:4" thickBot="1" x14ac:dyDescent="0.35">
      <c r="A36" s="242" t="s">
        <v>130</v>
      </c>
      <c r="B36" s="402">
        <v>685000</v>
      </c>
      <c r="C36" s="402">
        <v>465457.35</v>
      </c>
      <c r="D36" s="401">
        <v>900000</v>
      </c>
    </row>
    <row r="37" spans="1:4" ht="15.75" thickBot="1" x14ac:dyDescent="0.3">
      <c r="A37" s="1"/>
      <c r="B37" s="357"/>
      <c r="C37" s="357"/>
      <c r="D37" s="357"/>
    </row>
    <row r="38" spans="1:4" ht="15.75" thickBot="1" x14ac:dyDescent="0.3">
      <c r="A38" s="322" t="s">
        <v>13</v>
      </c>
      <c r="B38" s="404"/>
      <c r="C38" s="404"/>
      <c r="D38" s="418"/>
    </row>
    <row r="39" spans="1:4" ht="15.75" thickBot="1" x14ac:dyDescent="0.3">
      <c r="A39" s="323"/>
      <c r="B39" s="407"/>
      <c r="C39" s="407"/>
      <c r="D39" s="406">
        <v>0</v>
      </c>
    </row>
    <row r="40" spans="1:4" ht="15.75" thickBot="1" x14ac:dyDescent="0.3">
      <c r="A40" s="324" t="s">
        <v>130</v>
      </c>
      <c r="B40" s="409">
        <v>0</v>
      </c>
      <c r="C40" s="409">
        <v>0</v>
      </c>
      <c r="D40" s="410">
        <v>0</v>
      </c>
    </row>
    <row r="41" spans="1:4" ht="15.75" thickBot="1" x14ac:dyDescent="0.3">
      <c r="A41" s="1"/>
      <c r="B41" s="357"/>
      <c r="C41" s="357"/>
      <c r="D41" s="357"/>
    </row>
    <row r="42" spans="1:4" ht="19.5" thickBot="1" x14ac:dyDescent="0.35">
      <c r="A42" s="206" t="s">
        <v>10</v>
      </c>
      <c r="B42" s="411">
        <v>7751746</v>
      </c>
      <c r="C42" s="411">
        <v>6177173.4399999995</v>
      </c>
      <c r="D42" s="411">
        <f>D11+D17+D21+D25+D31+D36+D40</f>
        <v>7848811.7259999998</v>
      </c>
    </row>
    <row r="43" spans="1:4" x14ac:dyDescent="0.25">
      <c r="A43" s="1"/>
      <c r="B43" s="314"/>
      <c r="C43" s="314"/>
      <c r="D43" s="314"/>
    </row>
    <row r="44" spans="1:4" ht="18.600000000000001" customHeight="1" x14ac:dyDescent="0.25">
      <c r="A44" s="582" t="s">
        <v>226</v>
      </c>
      <c r="B44" s="582"/>
      <c r="C44" s="582"/>
      <c r="D44" s="582"/>
    </row>
    <row r="45" spans="1:4" ht="54" customHeight="1" x14ac:dyDescent="0.25">
      <c r="A45" s="582"/>
      <c r="B45" s="582"/>
      <c r="C45" s="582"/>
      <c r="D45" s="582"/>
    </row>
    <row r="46" spans="1:4" ht="0.6" customHeight="1" x14ac:dyDescent="0.3">
      <c r="A46" s="582"/>
      <c r="B46" s="582"/>
      <c r="C46" s="582"/>
      <c r="D46" s="582"/>
    </row>
    <row r="47" spans="1:4" ht="14.45" hidden="1" x14ac:dyDescent="0.3">
      <c r="A47" s="582"/>
      <c r="B47" s="582"/>
      <c r="C47" s="582"/>
      <c r="D47" s="582"/>
    </row>
    <row r="48" spans="1:4" ht="14.45" hidden="1" x14ac:dyDescent="0.3">
      <c r="A48" s="582"/>
      <c r="B48" s="582"/>
      <c r="C48" s="582"/>
      <c r="D48" s="582"/>
    </row>
    <row r="49" spans="1:4" x14ac:dyDescent="0.25">
      <c r="A49" s="576" t="s">
        <v>227</v>
      </c>
      <c r="B49" s="576"/>
      <c r="C49" s="576"/>
      <c r="D49" s="576"/>
    </row>
    <row r="50" spans="1:4" ht="14.45" hidden="1" customHeight="1" x14ac:dyDescent="0.3">
      <c r="A50" s="576"/>
      <c r="B50" s="576"/>
      <c r="C50" s="576"/>
      <c r="D50" s="576"/>
    </row>
    <row r="51" spans="1:4" ht="14.45" hidden="1" customHeight="1" x14ac:dyDescent="0.3">
      <c r="A51" s="576"/>
      <c r="B51" s="576"/>
      <c r="C51" s="576"/>
      <c r="D51" s="576"/>
    </row>
    <row r="52" spans="1:4" ht="14.45" hidden="1" customHeight="1" x14ac:dyDescent="0.3">
      <c r="A52" s="576"/>
      <c r="B52" s="576"/>
      <c r="C52" s="576"/>
      <c r="D52" s="576"/>
    </row>
    <row r="53" spans="1:4" ht="14.45" hidden="1" customHeight="1" x14ac:dyDescent="0.3">
      <c r="A53" s="576"/>
      <c r="B53" s="576"/>
      <c r="C53" s="576"/>
      <c r="D53" s="576"/>
    </row>
    <row r="54" spans="1:4" ht="14.45" hidden="1" customHeight="1" x14ac:dyDescent="0.3">
      <c r="A54" s="576"/>
      <c r="B54" s="576"/>
      <c r="C54" s="576"/>
      <c r="D54" s="576"/>
    </row>
    <row r="55" spans="1:4" ht="31.9" customHeight="1" x14ac:dyDescent="0.25">
      <c r="A55" s="576"/>
      <c r="B55" s="576"/>
      <c r="C55" s="576"/>
      <c r="D55" s="576"/>
    </row>
    <row r="56" spans="1:4" ht="30" customHeight="1" x14ac:dyDescent="0.25">
      <c r="A56" s="563" t="s">
        <v>278</v>
      </c>
      <c r="B56" s="563"/>
      <c r="C56" s="563"/>
      <c r="D56" s="563"/>
    </row>
  </sheetData>
  <mergeCells count="3">
    <mergeCell ref="A44:D48"/>
    <mergeCell ref="A49:D55"/>
    <mergeCell ref="A56:D56"/>
  </mergeCells>
  <pageMargins left="0.7" right="0.7" top="0.78740157499999996" bottom="0.78740157499999996" header="0.3" footer="0.3"/>
  <pageSetup paperSize="9" scale="87" orientation="portrait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16" zoomScale="90" zoomScaleNormal="90" workbookViewId="0">
      <selection activeCell="D43" sqref="D43"/>
    </sheetView>
  </sheetViews>
  <sheetFormatPr defaultRowHeight="15" outlineLevelCol="1" x14ac:dyDescent="0.25"/>
  <cols>
    <col min="1" max="1" width="44.28515625" customWidth="1"/>
    <col min="2" max="2" width="15.140625" style="330" customWidth="1"/>
    <col min="3" max="3" width="16.42578125" style="330" customWidth="1" outlineLevel="1"/>
    <col min="4" max="4" width="20.140625" style="330" customWidth="1" outlineLevel="1"/>
  </cols>
  <sheetData>
    <row r="1" spans="1:4" ht="24" thickBot="1" x14ac:dyDescent="0.4">
      <c r="A1" s="337" t="s">
        <v>217</v>
      </c>
      <c r="B1" s="338"/>
      <c r="C1" s="339"/>
      <c r="D1" s="340"/>
    </row>
    <row r="2" spans="1:4" s="344" customFormat="1" ht="78.75" customHeight="1" thickBot="1" x14ac:dyDescent="0.3">
      <c r="A2" s="341" t="s">
        <v>218</v>
      </c>
      <c r="B2" s="334" t="s">
        <v>219</v>
      </c>
      <c r="C2" s="342" t="s">
        <v>220</v>
      </c>
      <c r="D2" s="343" t="s">
        <v>221</v>
      </c>
    </row>
    <row r="3" spans="1:4" ht="15.75" thickBot="1" x14ac:dyDescent="0.3">
      <c r="A3" s="311" t="s">
        <v>120</v>
      </c>
      <c r="B3" s="345"/>
      <c r="C3" s="345"/>
      <c r="D3" s="346"/>
    </row>
    <row r="4" spans="1:4" ht="14.45" x14ac:dyDescent="0.3">
      <c r="A4" s="134" t="s">
        <v>122</v>
      </c>
      <c r="B4" s="347">
        <v>0</v>
      </c>
      <c r="C4" s="347">
        <v>563383</v>
      </c>
      <c r="D4" s="348">
        <v>664100</v>
      </c>
    </row>
    <row r="5" spans="1:4" x14ac:dyDescent="0.25">
      <c r="A5" s="138" t="s">
        <v>123</v>
      </c>
      <c r="B5" s="349">
        <v>0</v>
      </c>
      <c r="C5" s="350">
        <v>66050</v>
      </c>
      <c r="D5" s="351">
        <v>70000</v>
      </c>
    </row>
    <row r="6" spans="1:4" x14ac:dyDescent="0.25">
      <c r="A6" s="138" t="s">
        <v>124</v>
      </c>
      <c r="B6" s="349">
        <v>0</v>
      </c>
      <c r="C6" s="350">
        <v>228194.16999999998</v>
      </c>
      <c r="D6" s="351">
        <v>267359.22000000003</v>
      </c>
    </row>
    <row r="7" spans="1:4" x14ac:dyDescent="0.25">
      <c r="A7" s="138" t="s">
        <v>125</v>
      </c>
      <c r="B7" s="349">
        <v>0</v>
      </c>
      <c r="C7" s="350">
        <v>0</v>
      </c>
      <c r="D7" s="351">
        <v>20000</v>
      </c>
    </row>
    <row r="8" spans="1:4" x14ac:dyDescent="0.25">
      <c r="A8" s="138" t="s">
        <v>149</v>
      </c>
      <c r="B8" s="349">
        <v>0</v>
      </c>
      <c r="C8" s="350"/>
      <c r="D8" s="351">
        <v>6884</v>
      </c>
    </row>
    <row r="9" spans="1:4" ht="14.45" x14ac:dyDescent="0.3">
      <c r="A9" s="138" t="s">
        <v>127</v>
      </c>
      <c r="B9" s="349">
        <v>0</v>
      </c>
      <c r="C9" s="350">
        <v>30868</v>
      </c>
      <c r="D9" s="351">
        <v>36000</v>
      </c>
    </row>
    <row r="10" spans="1:4" ht="15.75" thickBot="1" x14ac:dyDescent="0.3">
      <c r="A10" s="138" t="s">
        <v>128</v>
      </c>
      <c r="B10" s="352">
        <v>0</v>
      </c>
      <c r="C10" s="353">
        <v>0</v>
      </c>
      <c r="D10" s="354">
        <v>46937</v>
      </c>
    </row>
    <row r="11" spans="1:4" thickBot="1" x14ac:dyDescent="0.35">
      <c r="A11" s="148" t="s">
        <v>130</v>
      </c>
      <c r="B11" s="355">
        <v>0</v>
      </c>
      <c r="C11" s="355">
        <v>888495.16999999993</v>
      </c>
      <c r="D11" s="356">
        <f>D4+D5+D6+D7+D8+D9+D10</f>
        <v>1111280.22</v>
      </c>
    </row>
    <row r="12" spans="1:4" thickBot="1" x14ac:dyDescent="0.35">
      <c r="A12" s="1"/>
      <c r="B12" s="357"/>
      <c r="C12" s="357"/>
      <c r="D12" s="357"/>
    </row>
    <row r="13" spans="1:4" ht="15.75" thickBot="1" x14ac:dyDescent="0.3">
      <c r="A13" s="315" t="s">
        <v>1</v>
      </c>
      <c r="B13" s="358"/>
      <c r="C13" s="359"/>
      <c r="D13" s="154"/>
    </row>
    <row r="14" spans="1:4" x14ac:dyDescent="0.25">
      <c r="A14" s="159" t="s">
        <v>200</v>
      </c>
      <c r="B14" s="360">
        <v>0</v>
      </c>
      <c r="C14" s="361"/>
      <c r="D14" s="361">
        <v>0</v>
      </c>
    </row>
    <row r="15" spans="1:4" x14ac:dyDescent="0.25">
      <c r="A15" s="162" t="s">
        <v>134</v>
      </c>
      <c r="B15" s="362">
        <v>0</v>
      </c>
      <c r="C15" s="363">
        <v>104609.81</v>
      </c>
      <c r="D15" s="363">
        <v>110000</v>
      </c>
    </row>
    <row r="16" spans="1:4" thickBot="1" x14ac:dyDescent="0.35">
      <c r="A16" s="162" t="s">
        <v>133</v>
      </c>
      <c r="B16" s="364">
        <v>0</v>
      </c>
      <c r="C16" s="363"/>
      <c r="D16" s="363">
        <v>10000</v>
      </c>
    </row>
    <row r="17" spans="1:4" thickBot="1" x14ac:dyDescent="0.35">
      <c r="A17" s="165" t="s">
        <v>130</v>
      </c>
      <c r="B17" s="365">
        <v>0</v>
      </c>
      <c r="C17" s="366">
        <v>104609.81</v>
      </c>
      <c r="D17" s="366">
        <f>D14+D15+D16</f>
        <v>120000</v>
      </c>
    </row>
    <row r="18" spans="1:4" thickBot="1" x14ac:dyDescent="0.35">
      <c r="A18" s="1"/>
      <c r="B18" s="357"/>
      <c r="C18" s="357"/>
      <c r="D18" s="357"/>
    </row>
    <row r="19" spans="1:4" ht="15.75" thickBot="1" x14ac:dyDescent="0.3">
      <c r="A19" s="316" t="s">
        <v>2</v>
      </c>
      <c r="B19" s="367"/>
      <c r="C19" s="368"/>
      <c r="D19" s="169"/>
    </row>
    <row r="20" spans="1:4" ht="15.75" thickBot="1" x14ac:dyDescent="0.3">
      <c r="A20" s="171" t="s">
        <v>135</v>
      </c>
      <c r="B20" s="369">
        <v>0</v>
      </c>
      <c r="C20" s="370">
        <v>0</v>
      </c>
      <c r="D20" s="370">
        <v>0</v>
      </c>
    </row>
    <row r="21" spans="1:4" thickBot="1" x14ac:dyDescent="0.35">
      <c r="A21" s="174" t="s">
        <v>130</v>
      </c>
      <c r="B21" s="371">
        <v>0</v>
      </c>
      <c r="C21" s="372">
        <v>0</v>
      </c>
      <c r="D21" s="372">
        <v>0</v>
      </c>
    </row>
    <row r="22" spans="1:4" thickBot="1" x14ac:dyDescent="0.35">
      <c r="A22" s="1"/>
      <c r="B22" s="357"/>
      <c r="C22" s="357"/>
      <c r="D22" s="357"/>
    </row>
    <row r="23" spans="1:4" ht="15.75" thickBot="1" x14ac:dyDescent="0.3">
      <c r="A23" s="317" t="s">
        <v>136</v>
      </c>
      <c r="B23" s="373"/>
      <c r="C23" s="374"/>
      <c r="D23" s="375"/>
    </row>
    <row r="24" spans="1:4" ht="15.75" thickBot="1" x14ac:dyDescent="0.3">
      <c r="A24" s="179" t="s">
        <v>137</v>
      </c>
      <c r="B24" s="376">
        <v>0</v>
      </c>
      <c r="C24" s="377">
        <v>6604.75</v>
      </c>
      <c r="D24" s="376">
        <v>20000</v>
      </c>
    </row>
    <row r="25" spans="1:4" thickBot="1" x14ac:dyDescent="0.35">
      <c r="A25" s="182" t="s">
        <v>130</v>
      </c>
      <c r="B25" s="378">
        <v>0</v>
      </c>
      <c r="C25" s="379">
        <v>6604.75</v>
      </c>
      <c r="D25" s="378">
        <f>D24</f>
        <v>20000</v>
      </c>
    </row>
    <row r="26" spans="1:4" thickBot="1" x14ac:dyDescent="0.35">
      <c r="A26" s="1"/>
      <c r="B26" s="357"/>
      <c r="C26" s="357"/>
      <c r="D26" s="357"/>
    </row>
    <row r="27" spans="1:4" thickBot="1" x14ac:dyDescent="0.35">
      <c r="A27" s="319" t="s">
        <v>3</v>
      </c>
      <c r="B27" s="380"/>
      <c r="C27" s="380"/>
      <c r="D27" s="381"/>
    </row>
    <row r="28" spans="1:4" x14ac:dyDescent="0.25">
      <c r="A28" s="382" t="s">
        <v>201</v>
      </c>
      <c r="B28" s="383">
        <v>0</v>
      </c>
      <c r="C28" s="384">
        <v>0</v>
      </c>
      <c r="D28" s="385">
        <v>0</v>
      </c>
    </row>
    <row r="29" spans="1:4" ht="14.45" x14ac:dyDescent="0.3">
      <c r="A29" s="386" t="s">
        <v>202</v>
      </c>
      <c r="B29" s="387">
        <v>0</v>
      </c>
      <c r="C29" s="388">
        <v>0</v>
      </c>
      <c r="D29" s="388">
        <v>0</v>
      </c>
    </row>
    <row r="30" spans="1:4" thickBot="1" x14ac:dyDescent="0.35">
      <c r="A30" s="389" t="s">
        <v>203</v>
      </c>
      <c r="B30" s="390">
        <v>0</v>
      </c>
      <c r="C30" s="391">
        <v>0</v>
      </c>
      <c r="D30" s="391">
        <v>0</v>
      </c>
    </row>
    <row r="31" spans="1:4" thickBot="1" x14ac:dyDescent="0.35">
      <c r="A31" s="279" t="s">
        <v>130</v>
      </c>
      <c r="B31" s="392">
        <v>0</v>
      </c>
      <c r="C31" s="393">
        <v>0</v>
      </c>
      <c r="D31" s="393">
        <v>0</v>
      </c>
    </row>
    <row r="32" spans="1:4" thickBot="1" x14ac:dyDescent="0.35">
      <c r="A32" s="1"/>
      <c r="B32" s="357"/>
      <c r="C32" s="357"/>
      <c r="D32" s="357"/>
    </row>
    <row r="33" spans="1:4" ht="15.75" thickBot="1" x14ac:dyDescent="0.3">
      <c r="A33" s="321" t="s">
        <v>5</v>
      </c>
      <c r="B33" s="394"/>
      <c r="C33" s="395"/>
      <c r="D33" s="396"/>
    </row>
    <row r="34" spans="1:4" x14ac:dyDescent="0.25">
      <c r="A34" s="195" t="s">
        <v>204</v>
      </c>
      <c r="B34" s="397">
        <v>0</v>
      </c>
      <c r="C34" s="398">
        <v>18233.54</v>
      </c>
      <c r="D34" s="397">
        <v>230000</v>
      </c>
    </row>
    <row r="35" spans="1:4" ht="15.75" thickBot="1" x14ac:dyDescent="0.3">
      <c r="A35" s="217" t="s">
        <v>153</v>
      </c>
      <c r="B35" s="399">
        <v>0</v>
      </c>
      <c r="C35" s="400"/>
      <c r="D35" s="399">
        <v>0</v>
      </c>
    </row>
    <row r="36" spans="1:4" thickBot="1" x14ac:dyDescent="0.35">
      <c r="A36" s="242" t="s">
        <v>130</v>
      </c>
      <c r="B36" s="401">
        <v>0</v>
      </c>
      <c r="C36" s="402">
        <v>18233.54</v>
      </c>
      <c r="D36" s="401">
        <f>D34+D35</f>
        <v>230000</v>
      </c>
    </row>
    <row r="37" spans="1:4" thickBot="1" x14ac:dyDescent="0.35">
      <c r="A37" s="1"/>
      <c r="B37" s="357"/>
      <c r="C37" s="357"/>
      <c r="D37" s="357"/>
    </row>
    <row r="38" spans="1:4" thickBot="1" x14ac:dyDescent="0.35">
      <c r="A38" s="322" t="s">
        <v>13</v>
      </c>
      <c r="B38" s="403"/>
      <c r="C38" s="404"/>
      <c r="D38" s="405"/>
    </row>
    <row r="39" spans="1:4" thickBot="1" x14ac:dyDescent="0.35">
      <c r="A39" s="323"/>
      <c r="B39" s="406">
        <v>0</v>
      </c>
      <c r="C39" s="407"/>
      <c r="D39" s="406">
        <v>0</v>
      </c>
    </row>
    <row r="40" spans="1:4" ht="15.75" thickBot="1" x14ac:dyDescent="0.3">
      <c r="A40" s="324" t="s">
        <v>130</v>
      </c>
      <c r="B40" s="408">
        <v>0</v>
      </c>
      <c r="C40" s="409">
        <v>0</v>
      </c>
      <c r="D40" s="410">
        <v>0</v>
      </c>
    </row>
    <row r="41" spans="1:4" ht="15.75" thickBot="1" x14ac:dyDescent="0.3">
      <c r="A41" s="1"/>
      <c r="B41" s="357"/>
      <c r="C41" s="357"/>
      <c r="D41" s="357"/>
    </row>
    <row r="42" spans="1:4" ht="19.5" thickBot="1" x14ac:dyDescent="0.35">
      <c r="A42" s="206" t="s">
        <v>10</v>
      </c>
      <c r="B42" s="411">
        <v>0</v>
      </c>
      <c r="C42" s="411">
        <v>1017943.27</v>
      </c>
      <c r="D42" s="411">
        <f>D11+D17+D25+D31+D36+D40</f>
        <v>1481280.22</v>
      </c>
    </row>
    <row r="43" spans="1:4" ht="18" customHeight="1" x14ac:dyDescent="0.25">
      <c r="A43" s="1"/>
      <c r="B43" s="314"/>
      <c r="C43" s="314"/>
      <c r="D43" s="314"/>
    </row>
    <row r="44" spans="1:4" ht="18.600000000000001" customHeight="1" x14ac:dyDescent="0.25">
      <c r="A44" s="576" t="s">
        <v>275</v>
      </c>
      <c r="B44" s="576"/>
      <c r="C44" s="576"/>
      <c r="D44" s="576"/>
    </row>
    <row r="45" spans="1:4" x14ac:dyDescent="0.25">
      <c r="A45" s="576"/>
      <c r="B45" s="576"/>
      <c r="C45" s="576"/>
      <c r="D45" s="576"/>
    </row>
    <row r="46" spans="1:4" ht="9" customHeight="1" x14ac:dyDescent="0.25">
      <c r="A46" s="576"/>
      <c r="B46" s="576"/>
      <c r="C46" s="576"/>
      <c r="D46" s="576"/>
    </row>
    <row r="47" spans="1:4" ht="5.25" customHeight="1" x14ac:dyDescent="0.25">
      <c r="A47" s="576"/>
      <c r="B47" s="576"/>
      <c r="C47" s="576"/>
      <c r="D47" s="576"/>
    </row>
    <row r="48" spans="1:4" ht="14.45" hidden="1" x14ac:dyDescent="0.3">
      <c r="A48" s="576"/>
      <c r="B48" s="576"/>
      <c r="C48" s="576"/>
      <c r="D48" s="576"/>
    </row>
    <row r="49" spans="1:4" ht="5.25" customHeight="1" x14ac:dyDescent="0.25">
      <c r="A49" s="576"/>
      <c r="B49" s="576"/>
      <c r="C49" s="576"/>
      <c r="D49" s="576"/>
    </row>
    <row r="51" spans="1:4" x14ac:dyDescent="0.25">
      <c r="A51" s="576" t="s">
        <v>276</v>
      </c>
      <c r="B51" s="576"/>
      <c r="C51" s="576"/>
      <c r="D51" s="576"/>
    </row>
    <row r="52" spans="1:4" x14ac:dyDescent="0.25">
      <c r="A52" s="576"/>
      <c r="B52" s="576"/>
      <c r="C52" s="576"/>
      <c r="D52" s="576"/>
    </row>
    <row r="53" spans="1:4" ht="7.5" customHeight="1" x14ac:dyDescent="0.25">
      <c r="A53" s="576"/>
      <c r="B53" s="576"/>
      <c r="C53" s="576"/>
      <c r="D53" s="576"/>
    </row>
    <row r="54" spans="1:4" ht="14.45" hidden="1" x14ac:dyDescent="0.3">
      <c r="A54" s="576"/>
      <c r="B54" s="576"/>
      <c r="C54" s="576"/>
      <c r="D54" s="576"/>
    </row>
    <row r="55" spans="1:4" ht="14.45" hidden="1" x14ac:dyDescent="0.3">
      <c r="A55" s="576"/>
      <c r="B55" s="576"/>
      <c r="C55" s="576"/>
      <c r="D55" s="576"/>
    </row>
    <row r="56" spans="1:4" ht="14.45" hidden="1" x14ac:dyDescent="0.3">
      <c r="A56" s="576"/>
      <c r="B56" s="576"/>
      <c r="C56" s="576"/>
      <c r="D56" s="576"/>
    </row>
    <row r="57" spans="1:4" ht="14.45" hidden="1" x14ac:dyDescent="0.3">
      <c r="A57" s="576"/>
      <c r="B57" s="576"/>
      <c r="C57" s="576"/>
      <c r="D57" s="576"/>
    </row>
  </sheetData>
  <mergeCells count="2">
    <mergeCell ref="A44:D49"/>
    <mergeCell ref="A51:D57"/>
  </mergeCells>
  <pageMargins left="0.7" right="0.7" top="0.78740157499999996" bottom="0.78740157499999996" header="0.3" footer="0.3"/>
  <pageSetup paperSize="9" scale="91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opLeftCell="B4" workbookViewId="0">
      <selection activeCell="L28" sqref="L28"/>
    </sheetView>
  </sheetViews>
  <sheetFormatPr defaultRowHeight="15" x14ac:dyDescent="0.25"/>
  <cols>
    <col min="1" max="1" width="0" hidden="1" customWidth="1"/>
    <col min="2" max="2" width="27.42578125" customWidth="1"/>
    <col min="3" max="3" width="14.42578125" customWidth="1"/>
    <col min="4" max="4" width="10" customWidth="1"/>
    <col min="5" max="5" width="11.5703125" customWidth="1"/>
    <col min="6" max="6" width="12.85546875" customWidth="1"/>
    <col min="7" max="7" width="12.140625" customWidth="1"/>
    <col min="8" max="8" width="12.7109375" customWidth="1"/>
    <col min="9" max="9" width="23.5703125" customWidth="1"/>
    <col min="10" max="10" width="12.28515625" customWidth="1"/>
    <col min="11" max="11" width="13.85546875" customWidth="1"/>
    <col min="12" max="13" width="15" style="4" bestFit="1" customWidth="1"/>
    <col min="14" max="14" width="17.28515625" customWidth="1"/>
    <col min="15" max="15" width="16" customWidth="1"/>
    <col min="16" max="16" width="16.140625" customWidth="1"/>
    <col min="17" max="17" width="14.5703125" customWidth="1"/>
    <col min="18" max="18" width="8" customWidth="1"/>
    <col min="19" max="19" width="7.42578125" customWidth="1"/>
    <col min="20" max="20" width="15.140625" customWidth="1"/>
    <col min="23" max="23" width="16" bestFit="1" customWidth="1"/>
    <col min="24" max="24" width="15.140625" customWidth="1"/>
  </cols>
  <sheetData>
    <row r="1" spans="2:14" ht="21" x14ac:dyDescent="0.35">
      <c r="B1" s="62" t="s">
        <v>67</v>
      </c>
      <c r="C1" s="62"/>
      <c r="D1" s="62"/>
      <c r="E1" s="62"/>
    </row>
    <row r="2" spans="2:14" ht="21" x14ac:dyDescent="0.35">
      <c r="B2" s="53" t="s">
        <v>46</v>
      </c>
    </row>
    <row r="3" spans="2:14" ht="21" x14ac:dyDescent="0.35">
      <c r="B3" s="53" t="s">
        <v>47</v>
      </c>
      <c r="C3" s="53"/>
      <c r="D3" s="53"/>
      <c r="E3" s="53"/>
    </row>
    <row r="4" spans="2:14" ht="21" x14ac:dyDescent="0.4">
      <c r="B4" s="53"/>
      <c r="C4" s="53"/>
      <c r="D4" s="53"/>
      <c r="E4" s="53"/>
    </row>
    <row r="5" spans="2:14" ht="64.5" customHeight="1" thickBot="1" x14ac:dyDescent="0.3">
      <c r="B5" s="45" t="s">
        <v>48</v>
      </c>
      <c r="D5" s="25" t="s">
        <v>62</v>
      </c>
      <c r="E5" s="25" t="s">
        <v>1</v>
      </c>
      <c r="F5" s="25" t="s">
        <v>2</v>
      </c>
      <c r="G5" s="25" t="s">
        <v>3</v>
      </c>
      <c r="H5" s="25" t="s">
        <v>4</v>
      </c>
      <c r="I5" s="25" t="s">
        <v>5</v>
      </c>
      <c r="J5" s="28" t="s">
        <v>13</v>
      </c>
      <c r="K5" s="28" t="s">
        <v>12</v>
      </c>
      <c r="L5" s="48"/>
      <c r="M5" s="48"/>
    </row>
    <row r="6" spans="2:14" x14ac:dyDescent="0.25">
      <c r="B6" s="4" t="s">
        <v>6</v>
      </c>
      <c r="C6" s="60">
        <v>3900</v>
      </c>
      <c r="D6" s="22">
        <v>9950000</v>
      </c>
      <c r="E6" s="23">
        <v>50000</v>
      </c>
      <c r="F6" s="23">
        <v>40000</v>
      </c>
      <c r="G6" s="52">
        <v>0</v>
      </c>
      <c r="H6" s="23">
        <v>10000</v>
      </c>
      <c r="I6" s="23">
        <v>200000</v>
      </c>
      <c r="J6" s="23">
        <v>58459</v>
      </c>
      <c r="K6" s="63">
        <f>SUM(D6:J6)</f>
        <v>10308459</v>
      </c>
      <c r="L6" s="2"/>
      <c r="M6" s="2"/>
      <c r="N6" s="3"/>
    </row>
    <row r="7" spans="2:14" x14ac:dyDescent="0.25">
      <c r="B7" t="s">
        <v>65</v>
      </c>
      <c r="C7" s="60">
        <v>3923</v>
      </c>
      <c r="D7" s="24">
        <v>959421</v>
      </c>
      <c r="E7" s="11">
        <v>29400</v>
      </c>
      <c r="F7" s="11">
        <v>1500</v>
      </c>
      <c r="G7" s="29">
        <v>0</v>
      </c>
      <c r="H7" s="11">
        <v>3000</v>
      </c>
      <c r="I7" s="11">
        <v>367054</v>
      </c>
      <c r="J7" s="11">
        <v>0</v>
      </c>
      <c r="K7" s="64">
        <f t="shared" ref="K7:K27" si="0">SUM(D7:J7)</f>
        <v>1360375</v>
      </c>
      <c r="L7" s="2"/>
      <c r="M7" s="2"/>
      <c r="N7" s="3"/>
    </row>
    <row r="8" spans="2:14" x14ac:dyDescent="0.25">
      <c r="B8" t="s">
        <v>14</v>
      </c>
      <c r="C8" s="26">
        <v>3901</v>
      </c>
      <c r="D8" s="24">
        <v>3687800</v>
      </c>
      <c r="E8" s="11">
        <v>80000</v>
      </c>
      <c r="F8" s="11">
        <v>3000</v>
      </c>
      <c r="G8" s="11">
        <v>0</v>
      </c>
      <c r="H8" s="11">
        <v>5000</v>
      </c>
      <c r="I8" s="11">
        <v>18000</v>
      </c>
      <c r="J8" s="11">
        <v>0</v>
      </c>
      <c r="K8" s="64">
        <f t="shared" si="0"/>
        <v>3793800</v>
      </c>
      <c r="L8" s="2"/>
      <c r="M8" s="2"/>
      <c r="N8" s="3"/>
    </row>
    <row r="9" spans="2:14" x14ac:dyDescent="0.25">
      <c r="B9" t="s">
        <v>15</v>
      </c>
      <c r="C9" s="26">
        <v>3903</v>
      </c>
      <c r="D9" s="24">
        <v>2975360</v>
      </c>
      <c r="E9" s="11">
        <v>100000</v>
      </c>
      <c r="F9" s="11">
        <v>8000</v>
      </c>
      <c r="G9" s="11">
        <v>0</v>
      </c>
      <c r="H9" s="11">
        <v>10000</v>
      </c>
      <c r="I9" s="11">
        <v>65000</v>
      </c>
      <c r="J9" s="11">
        <v>0</v>
      </c>
      <c r="K9" s="64">
        <f t="shared" si="0"/>
        <v>3158360</v>
      </c>
      <c r="L9" s="2"/>
      <c r="M9" s="2"/>
      <c r="N9" s="3"/>
    </row>
    <row r="10" spans="2:14" x14ac:dyDescent="0.25">
      <c r="B10" t="s">
        <v>16</v>
      </c>
      <c r="C10" s="26">
        <v>3904</v>
      </c>
      <c r="D10" s="24">
        <v>659000</v>
      </c>
      <c r="E10" s="11">
        <v>10000</v>
      </c>
      <c r="F10" s="11">
        <v>5000</v>
      </c>
      <c r="G10" s="11">
        <v>0</v>
      </c>
      <c r="H10" s="11">
        <v>3000</v>
      </c>
      <c r="I10" s="11">
        <v>10000</v>
      </c>
      <c r="J10" s="11">
        <v>0</v>
      </c>
      <c r="K10" s="64">
        <f t="shared" si="0"/>
        <v>687000</v>
      </c>
      <c r="L10" s="2"/>
      <c r="M10" s="2"/>
      <c r="N10" s="3"/>
    </row>
    <row r="11" spans="2:14" x14ac:dyDescent="0.25">
      <c r="B11" t="s">
        <v>17</v>
      </c>
      <c r="C11" s="26">
        <v>3905</v>
      </c>
      <c r="D11" s="24">
        <v>1117862</v>
      </c>
      <c r="E11" s="11">
        <v>70000</v>
      </c>
      <c r="F11" s="11">
        <v>15000</v>
      </c>
      <c r="G11" s="11">
        <v>0</v>
      </c>
      <c r="H11" s="11">
        <v>5000</v>
      </c>
      <c r="I11" s="11">
        <v>8200</v>
      </c>
      <c r="J11" s="11">
        <v>0</v>
      </c>
      <c r="K11" s="64">
        <f t="shared" si="0"/>
        <v>1216062</v>
      </c>
      <c r="L11" s="2"/>
      <c r="M11" s="2"/>
      <c r="N11" s="3"/>
    </row>
    <row r="12" spans="2:14" x14ac:dyDescent="0.25">
      <c r="B12" t="s">
        <v>18</v>
      </c>
      <c r="C12" s="26">
        <v>3906</v>
      </c>
      <c r="D12" s="24">
        <v>1612804</v>
      </c>
      <c r="E12" s="11">
        <v>200000</v>
      </c>
      <c r="F12" s="11">
        <v>20000</v>
      </c>
      <c r="G12" s="11">
        <v>0</v>
      </c>
      <c r="H12" s="11">
        <v>1000</v>
      </c>
      <c r="I12" s="11">
        <v>250000</v>
      </c>
      <c r="J12" s="11">
        <v>0</v>
      </c>
      <c r="K12" s="64">
        <f t="shared" si="0"/>
        <v>2083804</v>
      </c>
      <c r="L12" s="2"/>
      <c r="M12" s="2"/>
      <c r="N12" s="3"/>
    </row>
    <row r="13" spans="2:14" x14ac:dyDescent="0.25">
      <c r="B13" s="4" t="s">
        <v>19</v>
      </c>
      <c r="C13" s="26">
        <v>3907</v>
      </c>
      <c r="D13" s="24">
        <v>4510684</v>
      </c>
      <c r="E13" s="11">
        <v>310000</v>
      </c>
      <c r="F13" s="11">
        <v>30000</v>
      </c>
      <c r="G13" s="11">
        <v>0</v>
      </c>
      <c r="H13" s="11">
        <v>20000</v>
      </c>
      <c r="I13" s="11">
        <v>115500</v>
      </c>
      <c r="J13" s="11">
        <v>0</v>
      </c>
      <c r="K13" s="64">
        <f t="shared" si="0"/>
        <v>4986184</v>
      </c>
      <c r="L13" s="2"/>
      <c r="M13" s="2"/>
      <c r="N13" s="3"/>
    </row>
    <row r="14" spans="2:14" x14ac:dyDescent="0.25">
      <c r="B14" t="s">
        <v>20</v>
      </c>
      <c r="C14" s="26">
        <v>3908</v>
      </c>
      <c r="D14" s="24">
        <v>2679044</v>
      </c>
      <c r="E14" s="11">
        <v>40000</v>
      </c>
      <c r="F14" s="11">
        <v>8000</v>
      </c>
      <c r="G14" s="11">
        <v>0</v>
      </c>
      <c r="H14" s="11">
        <v>0</v>
      </c>
      <c r="I14" s="11">
        <v>250000</v>
      </c>
      <c r="J14" s="11">
        <v>0</v>
      </c>
      <c r="K14" s="64">
        <f t="shared" si="0"/>
        <v>2977044</v>
      </c>
      <c r="L14" s="2"/>
      <c r="M14" s="2"/>
      <c r="N14" s="3"/>
    </row>
    <row r="15" spans="2:14" x14ac:dyDescent="0.25">
      <c r="B15" s="1" t="s">
        <v>49</v>
      </c>
      <c r="C15" s="60" t="s">
        <v>51</v>
      </c>
      <c r="D15" s="24">
        <v>3412075</v>
      </c>
      <c r="E15" s="11">
        <v>1110000</v>
      </c>
      <c r="F15" s="11">
        <v>10000</v>
      </c>
      <c r="G15" s="11">
        <v>0</v>
      </c>
      <c r="H15" s="11">
        <v>1575000</v>
      </c>
      <c r="I15" s="11">
        <v>1725000</v>
      </c>
      <c r="J15" s="11">
        <v>235969</v>
      </c>
      <c r="K15" s="64">
        <f t="shared" si="0"/>
        <v>8068044</v>
      </c>
      <c r="L15" s="2"/>
      <c r="M15" s="2"/>
      <c r="N15" s="3"/>
    </row>
    <row r="16" spans="2:14" x14ac:dyDescent="0.25">
      <c r="B16" s="1" t="s">
        <v>50</v>
      </c>
      <c r="C16" s="60" t="s">
        <v>52</v>
      </c>
      <c r="D16" s="24">
        <v>7066746</v>
      </c>
      <c r="E16" s="11">
        <v>1267000</v>
      </c>
      <c r="F16" s="11">
        <v>5000</v>
      </c>
      <c r="G16" s="11">
        <v>0</v>
      </c>
      <c r="H16" s="11">
        <v>200000</v>
      </c>
      <c r="I16" s="11">
        <v>685000</v>
      </c>
      <c r="J16" s="11">
        <v>0</v>
      </c>
      <c r="K16" s="64">
        <f t="shared" si="0"/>
        <v>9223746</v>
      </c>
      <c r="L16" s="2"/>
      <c r="M16" s="2"/>
      <c r="N16" s="3"/>
    </row>
    <row r="17" spans="2:20" ht="14.45" x14ac:dyDescent="0.3">
      <c r="B17" s="1" t="s">
        <v>31</v>
      </c>
      <c r="C17" s="26">
        <v>3921</v>
      </c>
      <c r="D17" s="24">
        <v>0</v>
      </c>
      <c r="E17" s="11">
        <v>0</v>
      </c>
      <c r="F17" s="11">
        <v>0</v>
      </c>
      <c r="G17" s="29">
        <v>3800000</v>
      </c>
      <c r="H17" s="11">
        <v>0</v>
      </c>
      <c r="I17" s="11">
        <v>0</v>
      </c>
      <c r="J17" s="11">
        <v>0</v>
      </c>
      <c r="K17" s="64">
        <f t="shared" si="0"/>
        <v>3800000</v>
      </c>
      <c r="L17" s="2"/>
      <c r="M17" s="2"/>
      <c r="N17" s="3"/>
    </row>
    <row r="18" spans="2:20" ht="14.45" x14ac:dyDescent="0.3">
      <c r="B18" s="1" t="s">
        <v>34</v>
      </c>
      <c r="C18" s="26">
        <v>3940</v>
      </c>
      <c r="D18" s="24">
        <v>0</v>
      </c>
      <c r="E18" s="11">
        <v>0</v>
      </c>
      <c r="F18" s="11">
        <v>0</v>
      </c>
      <c r="G18" s="11">
        <v>1150000</v>
      </c>
      <c r="H18" s="11">
        <v>0</v>
      </c>
      <c r="I18" s="11">
        <v>0</v>
      </c>
      <c r="J18" s="11">
        <v>0</v>
      </c>
      <c r="K18" s="64">
        <f t="shared" si="0"/>
        <v>1150000</v>
      </c>
      <c r="L18" s="2"/>
      <c r="M18" s="2"/>
      <c r="N18" s="3"/>
    </row>
    <row r="19" spans="2:20" x14ac:dyDescent="0.25">
      <c r="B19" s="1" t="s">
        <v>53</v>
      </c>
      <c r="C19" s="26">
        <v>3912</v>
      </c>
      <c r="D19" s="24">
        <v>3810000</v>
      </c>
      <c r="E19" s="11">
        <v>811000</v>
      </c>
      <c r="F19" s="11">
        <v>2000</v>
      </c>
      <c r="G19" s="11">
        <v>0</v>
      </c>
      <c r="H19" s="11">
        <v>1200000</v>
      </c>
      <c r="I19" s="11">
        <v>485000</v>
      </c>
      <c r="J19" s="11">
        <v>219302</v>
      </c>
      <c r="K19" s="64">
        <f t="shared" si="0"/>
        <v>6527302</v>
      </c>
      <c r="L19" s="2"/>
      <c r="M19" s="2"/>
      <c r="N19" s="3"/>
    </row>
    <row r="20" spans="2:20" x14ac:dyDescent="0.25">
      <c r="B20" s="1" t="s">
        <v>54</v>
      </c>
      <c r="C20" s="26">
        <v>3919</v>
      </c>
      <c r="D20" s="24">
        <v>3327000</v>
      </c>
      <c r="E20" s="11">
        <v>776000</v>
      </c>
      <c r="F20" s="11">
        <v>2000</v>
      </c>
      <c r="G20" s="11">
        <v>0</v>
      </c>
      <c r="H20" s="11">
        <v>30000</v>
      </c>
      <c r="I20" s="11">
        <v>886000</v>
      </c>
      <c r="J20" s="11">
        <v>0</v>
      </c>
      <c r="K20" s="64">
        <f t="shared" si="0"/>
        <v>5021000</v>
      </c>
      <c r="L20" s="2"/>
      <c r="M20" s="2"/>
      <c r="N20" s="3"/>
    </row>
    <row r="21" spans="2:20" ht="14.45" x14ac:dyDescent="0.3">
      <c r="B21" s="1" t="s">
        <v>32</v>
      </c>
      <c r="C21" s="26">
        <v>3922</v>
      </c>
      <c r="D21" s="24">
        <v>0</v>
      </c>
      <c r="E21" s="11">
        <v>0</v>
      </c>
      <c r="F21" s="11">
        <v>0</v>
      </c>
      <c r="G21" s="29">
        <v>2800000</v>
      </c>
      <c r="H21" s="11">
        <v>0</v>
      </c>
      <c r="I21" s="11">
        <v>0</v>
      </c>
      <c r="J21" s="11">
        <v>0</v>
      </c>
      <c r="K21" s="64">
        <f t="shared" si="0"/>
        <v>2800000</v>
      </c>
      <c r="L21" s="2"/>
      <c r="M21" s="2"/>
      <c r="N21" s="3"/>
    </row>
    <row r="22" spans="2:20" x14ac:dyDescent="0.25">
      <c r="B22" s="4" t="s">
        <v>22</v>
      </c>
      <c r="C22" s="26">
        <v>3915</v>
      </c>
      <c r="D22" s="24">
        <v>672689</v>
      </c>
      <c r="E22" s="11">
        <v>22500</v>
      </c>
      <c r="F22" s="11">
        <v>6000</v>
      </c>
      <c r="G22" s="11">
        <v>63668</v>
      </c>
      <c r="H22" s="11">
        <v>34000</v>
      </c>
      <c r="I22" s="11">
        <v>21206</v>
      </c>
      <c r="J22" s="11">
        <v>0</v>
      </c>
      <c r="K22" s="64">
        <f t="shared" si="0"/>
        <v>820063</v>
      </c>
      <c r="L22" s="2"/>
      <c r="M22" s="2"/>
      <c r="N22" s="3"/>
    </row>
    <row r="23" spans="2:20" x14ac:dyDescent="0.25">
      <c r="B23" t="s">
        <v>23</v>
      </c>
      <c r="C23" s="26">
        <v>3917</v>
      </c>
      <c r="D23" s="24">
        <v>20000</v>
      </c>
      <c r="E23" s="11">
        <v>85000</v>
      </c>
      <c r="F23" s="11">
        <v>0</v>
      </c>
      <c r="G23" s="11">
        <v>140000</v>
      </c>
      <c r="H23" s="11">
        <v>80000</v>
      </c>
      <c r="I23" s="11">
        <v>5000</v>
      </c>
      <c r="J23" s="11">
        <v>0</v>
      </c>
      <c r="K23" s="64">
        <f t="shared" si="0"/>
        <v>330000</v>
      </c>
      <c r="L23" s="2"/>
      <c r="M23" s="2"/>
      <c r="N23" s="3"/>
    </row>
    <row r="24" spans="2:20" x14ac:dyDescent="0.25">
      <c r="B24" t="s">
        <v>24</v>
      </c>
      <c r="C24" s="26">
        <v>3918</v>
      </c>
      <c r="D24" s="24">
        <v>1060000</v>
      </c>
      <c r="E24" s="11">
        <v>110000</v>
      </c>
      <c r="F24" s="11">
        <v>4000</v>
      </c>
      <c r="G24" s="11">
        <v>0</v>
      </c>
      <c r="H24" s="11">
        <v>40000</v>
      </c>
      <c r="I24" s="11">
        <v>133500</v>
      </c>
      <c r="J24" s="11">
        <v>30222</v>
      </c>
      <c r="K24" s="64">
        <f t="shared" si="0"/>
        <v>1377722</v>
      </c>
      <c r="L24" s="2"/>
      <c r="M24" s="2"/>
      <c r="N24" s="3"/>
    </row>
    <row r="25" spans="2:20" x14ac:dyDescent="0.25">
      <c r="B25" t="s">
        <v>35</v>
      </c>
      <c r="C25" s="26">
        <v>3740</v>
      </c>
      <c r="D25" s="24">
        <v>3802470</v>
      </c>
      <c r="E25" s="11">
        <v>286200</v>
      </c>
      <c r="F25" s="11">
        <v>60000</v>
      </c>
      <c r="G25" s="11">
        <v>0</v>
      </c>
      <c r="H25" s="11">
        <v>5000</v>
      </c>
      <c r="I25" s="11">
        <v>227076</v>
      </c>
      <c r="J25" s="11">
        <v>38359</v>
      </c>
      <c r="K25" s="64">
        <f t="shared" si="0"/>
        <v>4419105</v>
      </c>
      <c r="L25" s="2"/>
      <c r="M25" s="2"/>
      <c r="N25" s="3"/>
    </row>
    <row r="26" spans="2:20" x14ac:dyDescent="0.25">
      <c r="B26" t="s">
        <v>25</v>
      </c>
      <c r="C26" s="26">
        <v>3960</v>
      </c>
      <c r="D26" s="24">
        <v>1430000</v>
      </c>
      <c r="E26" s="11">
        <v>55000</v>
      </c>
      <c r="F26" s="11">
        <v>30000</v>
      </c>
      <c r="G26" s="11">
        <v>0</v>
      </c>
      <c r="H26" s="11">
        <v>0</v>
      </c>
      <c r="I26" s="11">
        <v>40000</v>
      </c>
      <c r="J26" s="11">
        <v>0</v>
      </c>
      <c r="K26" s="64">
        <f t="shared" si="0"/>
        <v>1555000</v>
      </c>
      <c r="L26" s="2"/>
      <c r="M26" s="2"/>
      <c r="N26" s="3"/>
    </row>
    <row r="27" spans="2:20" ht="15.75" thickBot="1" x14ac:dyDescent="0.3">
      <c r="B27" t="s">
        <v>26</v>
      </c>
      <c r="C27" s="26">
        <v>3210</v>
      </c>
      <c r="D27" s="38">
        <v>3061983</v>
      </c>
      <c r="E27" s="39">
        <v>80000</v>
      </c>
      <c r="F27" s="39">
        <v>40000</v>
      </c>
      <c r="G27" s="39">
        <v>0</v>
      </c>
      <c r="H27" s="39">
        <v>10000</v>
      </c>
      <c r="I27" s="39">
        <v>10000</v>
      </c>
      <c r="J27" s="39">
        <v>0</v>
      </c>
      <c r="K27" s="65">
        <f t="shared" si="0"/>
        <v>3201983</v>
      </c>
      <c r="L27" s="2"/>
      <c r="M27" s="2"/>
      <c r="N27" s="3"/>
    </row>
    <row r="28" spans="2:20" x14ac:dyDescent="0.25">
      <c r="C28" s="26"/>
      <c r="D28" s="11"/>
      <c r="E28" s="11"/>
      <c r="F28" s="11"/>
      <c r="G28" s="11"/>
      <c r="H28" s="11"/>
      <c r="I28" s="11"/>
      <c r="J28" s="11"/>
      <c r="K28" s="29"/>
      <c r="L28" s="2"/>
      <c r="M28" s="2"/>
      <c r="N28" s="3"/>
    </row>
    <row r="29" spans="2:20" x14ac:dyDescent="0.25">
      <c r="C29" s="26"/>
      <c r="D29" s="27">
        <f t="shared" ref="D29:J29" si="1">SUM(D6:D27)</f>
        <v>55814938</v>
      </c>
      <c r="E29" s="27">
        <f t="shared" si="1"/>
        <v>5492100</v>
      </c>
      <c r="F29" s="27">
        <f t="shared" si="1"/>
        <v>289500</v>
      </c>
      <c r="G29" s="27">
        <f t="shared" si="1"/>
        <v>7953668</v>
      </c>
      <c r="H29" s="27">
        <f t="shared" si="1"/>
        <v>3231000</v>
      </c>
      <c r="I29" s="27">
        <f t="shared" si="1"/>
        <v>5501536</v>
      </c>
      <c r="J29" s="27">
        <f t="shared" si="1"/>
        <v>582311</v>
      </c>
      <c r="K29" s="27">
        <f>SUM(D29:J29)</f>
        <v>78865053</v>
      </c>
      <c r="L29" s="7"/>
      <c r="M29" s="7"/>
    </row>
    <row r="30" spans="2:20" x14ac:dyDescent="0.25">
      <c r="D30" s="61"/>
      <c r="E30" s="5"/>
      <c r="F30" s="6"/>
      <c r="G30" s="5"/>
      <c r="H30" s="6"/>
      <c r="I30" s="5"/>
      <c r="J30" s="6"/>
      <c r="K30" s="5"/>
      <c r="L30" s="31"/>
      <c r="M30" s="31"/>
      <c r="N30" s="6"/>
      <c r="O30" s="5"/>
      <c r="P30" s="7"/>
      <c r="Q30" s="7"/>
      <c r="R30" s="7"/>
      <c r="S30" s="7"/>
      <c r="T30" s="7"/>
    </row>
    <row r="31" spans="2:20" ht="15.75" thickBot="1" x14ac:dyDescent="0.3">
      <c r="D31" s="6"/>
      <c r="E31" s="5"/>
      <c r="F31" s="6"/>
      <c r="G31" s="5"/>
      <c r="H31" s="6"/>
      <c r="I31" s="5"/>
      <c r="J31" s="6"/>
      <c r="K31" s="5"/>
      <c r="L31" s="31"/>
      <c r="M31" s="31"/>
      <c r="N31" s="6"/>
      <c r="O31" s="5"/>
      <c r="P31" s="7"/>
      <c r="Q31" s="7"/>
      <c r="R31" s="7"/>
      <c r="S31" s="7"/>
      <c r="T31" s="7"/>
    </row>
    <row r="32" spans="2:20" ht="15.75" thickBot="1" x14ac:dyDescent="0.3">
      <c r="B32" s="8" t="s">
        <v>55</v>
      </c>
      <c r="C32" s="9"/>
      <c r="D32" s="10"/>
      <c r="F32" s="12" t="s">
        <v>56</v>
      </c>
      <c r="I32" s="13" t="s">
        <v>57</v>
      </c>
      <c r="K32" t="s">
        <v>66</v>
      </c>
      <c r="P32" s="3"/>
      <c r="Q32" s="3"/>
    </row>
    <row r="33" spans="2:17" x14ac:dyDescent="0.25">
      <c r="B33" s="14" t="s">
        <v>7</v>
      </c>
      <c r="C33" s="33"/>
      <c r="D33" s="35">
        <v>800000</v>
      </c>
      <c r="F33" s="32" t="s">
        <v>27</v>
      </c>
      <c r="G33" s="51">
        <v>78865053</v>
      </c>
      <c r="I33" s="32" t="s">
        <v>60</v>
      </c>
      <c r="J33" s="42">
        <v>61300000</v>
      </c>
      <c r="K33" s="29">
        <v>61300000</v>
      </c>
      <c r="O33" s="15"/>
      <c r="P33" s="3"/>
    </row>
    <row r="34" spans="2:17" x14ac:dyDescent="0.25">
      <c r="B34" s="16" t="s">
        <v>63</v>
      </c>
      <c r="C34" s="18"/>
      <c r="D34" s="35">
        <v>100000</v>
      </c>
      <c r="E34" s="3"/>
      <c r="F34" s="17" t="s">
        <v>41</v>
      </c>
      <c r="G34" s="44">
        <v>3000000</v>
      </c>
      <c r="I34" s="46" t="s">
        <v>61</v>
      </c>
      <c r="J34" s="44">
        <v>17313000</v>
      </c>
      <c r="K34" s="50">
        <f>J34+11084000</f>
        <v>28397000</v>
      </c>
      <c r="P34" s="18"/>
      <c r="Q34" s="3"/>
    </row>
    <row r="35" spans="2:17" ht="15.75" thickBot="1" x14ac:dyDescent="0.3">
      <c r="B35" s="16" t="s">
        <v>9</v>
      </c>
      <c r="C35" s="26"/>
      <c r="D35" s="35">
        <v>2100000</v>
      </c>
      <c r="F35" s="17" t="s">
        <v>30</v>
      </c>
      <c r="G35" s="57">
        <v>6747947</v>
      </c>
      <c r="H35" t="s">
        <v>43</v>
      </c>
      <c r="I35" s="17" t="s">
        <v>59</v>
      </c>
      <c r="J35" s="44">
        <v>10000000</v>
      </c>
      <c r="K35" s="50">
        <v>10000000</v>
      </c>
      <c r="P35" s="3"/>
    </row>
    <row r="36" spans="2:17" ht="15.75" thickBot="1" x14ac:dyDescent="0.3">
      <c r="B36" s="19" t="s">
        <v>10</v>
      </c>
      <c r="C36" s="20"/>
      <c r="D36" s="36">
        <f>SUM(D33:D35)</f>
        <v>3000000</v>
      </c>
      <c r="F36" s="21" t="s">
        <v>11</v>
      </c>
      <c r="G36" s="43">
        <f>G33+G34+G35</f>
        <v>88613000</v>
      </c>
      <c r="I36" s="21" t="s">
        <v>11</v>
      </c>
      <c r="J36" s="43">
        <f>J33+J34+J35</f>
        <v>88613000</v>
      </c>
      <c r="K36" s="50">
        <f>K33+K34+K35</f>
        <v>99697000</v>
      </c>
      <c r="P36" s="3"/>
    </row>
    <row r="37" spans="2:17" ht="101.25" customHeight="1" x14ac:dyDescent="0.25">
      <c r="E37" s="56" t="s">
        <v>43</v>
      </c>
      <c r="F37" s="562" t="s">
        <v>58</v>
      </c>
      <c r="G37" s="562"/>
      <c r="H37" s="58"/>
      <c r="I37" s="562"/>
      <c r="J37" s="562"/>
      <c r="K37" s="562"/>
      <c r="P37" s="3"/>
    </row>
    <row r="38" spans="2:17" ht="117" customHeight="1" x14ac:dyDescent="0.25">
      <c r="F38" s="563" t="s">
        <v>64</v>
      </c>
      <c r="G38" s="563"/>
      <c r="J38" s="50"/>
      <c r="P38" s="3"/>
    </row>
    <row r="39" spans="2:17" x14ac:dyDescent="0.25">
      <c r="G39" s="59"/>
      <c r="J39" s="50"/>
    </row>
  </sheetData>
  <mergeCells count="3">
    <mergeCell ref="F37:G37"/>
    <mergeCell ref="I37:K37"/>
    <mergeCell ref="F38:G38"/>
  </mergeCells>
  <pageMargins left="0.7" right="0.7" top="0.75" bottom="0.75" header="0.3" footer="0.3"/>
  <pageSetup paperSize="9" scale="51" orientation="landscape" r:id="rId1"/>
  <ignoredErrors>
    <ignoredError sqref="K6:K14 K17:K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16" zoomScaleNormal="100" workbookViewId="0">
      <selection activeCell="D43" sqref="D43"/>
    </sheetView>
  </sheetViews>
  <sheetFormatPr defaultRowHeight="15" outlineLevelCol="1" x14ac:dyDescent="0.25"/>
  <cols>
    <col min="1" max="1" width="44.28515625" customWidth="1"/>
    <col min="2" max="2" width="16" style="330" customWidth="1" outlineLevel="1"/>
    <col min="3" max="3" width="14.42578125" style="330" customWidth="1" outlineLevel="1"/>
    <col min="4" max="4" width="16.7109375" style="330" customWidth="1" outlineLevel="1"/>
    <col min="5" max="5" width="9.140625" customWidth="1"/>
  </cols>
  <sheetData>
    <row r="1" spans="1:4" ht="24" thickBot="1" x14ac:dyDescent="0.4">
      <c r="A1" s="337" t="s">
        <v>235</v>
      </c>
      <c r="B1" s="412"/>
      <c r="C1" s="439"/>
      <c r="D1" s="440"/>
    </row>
    <row r="2" spans="1:4" s="344" customFormat="1" ht="78.75" customHeight="1" thickBot="1" x14ac:dyDescent="0.3">
      <c r="A2" s="341" t="s">
        <v>236</v>
      </c>
      <c r="B2" s="342" t="s">
        <v>237</v>
      </c>
      <c r="C2" s="343" t="s">
        <v>238</v>
      </c>
      <c r="D2" s="343" t="s">
        <v>239</v>
      </c>
    </row>
    <row r="3" spans="1:4" ht="15.75" thickBot="1" x14ac:dyDescent="0.3">
      <c r="A3" s="311" t="s">
        <v>120</v>
      </c>
      <c r="B3" s="441"/>
      <c r="C3" s="442"/>
      <c r="D3" s="420" t="s">
        <v>240</v>
      </c>
    </row>
    <row r="4" spans="1:4" ht="14.45" x14ac:dyDescent="0.3">
      <c r="A4" s="134" t="s">
        <v>122</v>
      </c>
      <c r="B4" s="347">
        <v>0</v>
      </c>
      <c r="C4" s="348">
        <v>292886</v>
      </c>
      <c r="D4" s="347">
        <v>375000</v>
      </c>
    </row>
    <row r="5" spans="1:4" x14ac:dyDescent="0.25">
      <c r="A5" s="138" t="s">
        <v>123</v>
      </c>
      <c r="B5" s="350">
        <v>0</v>
      </c>
      <c r="C5" s="351">
        <v>51600</v>
      </c>
      <c r="D5" s="350">
        <v>50000</v>
      </c>
    </row>
    <row r="6" spans="1:4" x14ac:dyDescent="0.25">
      <c r="A6" s="138" t="s">
        <v>124</v>
      </c>
      <c r="B6" s="350">
        <v>0</v>
      </c>
      <c r="C6" s="351">
        <v>125067.63</v>
      </c>
      <c r="D6" s="350">
        <v>154784.99999999997</v>
      </c>
    </row>
    <row r="7" spans="1:4" x14ac:dyDescent="0.25">
      <c r="A7" s="138" t="s">
        <v>125</v>
      </c>
      <c r="B7" s="350">
        <v>0</v>
      </c>
      <c r="C7" s="351">
        <v>0</v>
      </c>
      <c r="D7" s="350">
        <v>0</v>
      </c>
    </row>
    <row r="8" spans="1:4" x14ac:dyDescent="0.25">
      <c r="A8" s="138" t="s">
        <v>149</v>
      </c>
      <c r="B8" s="350">
        <v>0</v>
      </c>
      <c r="C8" s="351">
        <v>0</v>
      </c>
      <c r="D8" s="350">
        <v>0</v>
      </c>
    </row>
    <row r="9" spans="1:4" ht="14.45" x14ac:dyDescent="0.3">
      <c r="A9" s="138" t="s">
        <v>127</v>
      </c>
      <c r="B9" s="350">
        <v>0</v>
      </c>
      <c r="C9" s="351">
        <v>0</v>
      </c>
      <c r="D9" s="350">
        <v>45000</v>
      </c>
    </row>
    <row r="10" spans="1:4" ht="15.75" thickBot="1" x14ac:dyDescent="0.3">
      <c r="A10" s="138" t="s">
        <v>128</v>
      </c>
      <c r="B10" s="353">
        <v>0</v>
      </c>
      <c r="C10" s="354">
        <v>0</v>
      </c>
      <c r="D10" s="353">
        <v>23468.5</v>
      </c>
    </row>
    <row r="11" spans="1:4" thickBot="1" x14ac:dyDescent="0.35">
      <c r="A11" s="148" t="s">
        <v>130</v>
      </c>
      <c r="B11" s="355">
        <v>0</v>
      </c>
      <c r="C11" s="414">
        <v>469553.63</v>
      </c>
      <c r="D11" s="356">
        <f>D4+D5+D6+D7+D8+D9+D10</f>
        <v>648253.5</v>
      </c>
    </row>
    <row r="12" spans="1:4" thickBot="1" x14ac:dyDescent="0.35">
      <c r="A12" s="443"/>
      <c r="B12" s="421"/>
      <c r="C12" s="357"/>
      <c r="D12" s="444"/>
    </row>
    <row r="13" spans="1:4" ht="15.75" thickBot="1" x14ac:dyDescent="0.3">
      <c r="A13" s="315" t="s">
        <v>1</v>
      </c>
      <c r="B13" s="358"/>
      <c r="C13" s="422"/>
      <c r="D13" s="283"/>
    </row>
    <row r="14" spans="1:4" x14ac:dyDescent="0.25">
      <c r="A14" s="159" t="s">
        <v>200</v>
      </c>
      <c r="B14" s="362"/>
      <c r="C14" s="361"/>
      <c r="D14" s="445">
        <v>0</v>
      </c>
    </row>
    <row r="15" spans="1:4" x14ac:dyDescent="0.25">
      <c r="A15" s="162" t="s">
        <v>134</v>
      </c>
      <c r="B15" s="423">
        <v>0</v>
      </c>
      <c r="C15" s="363">
        <v>255026.24</v>
      </c>
      <c r="D15" s="361">
        <v>260000</v>
      </c>
    </row>
    <row r="16" spans="1:4" thickBot="1" x14ac:dyDescent="0.35">
      <c r="A16" s="162"/>
      <c r="B16" s="423"/>
      <c r="C16" s="363"/>
      <c r="D16" s="446">
        <v>0</v>
      </c>
    </row>
    <row r="17" spans="1:4" thickBot="1" x14ac:dyDescent="0.35">
      <c r="A17" s="165" t="s">
        <v>130</v>
      </c>
      <c r="B17" s="365">
        <v>0</v>
      </c>
      <c r="C17" s="366">
        <v>255026.24</v>
      </c>
      <c r="D17" s="447">
        <f>D14+D15+D16</f>
        <v>260000</v>
      </c>
    </row>
    <row r="18" spans="1:4" thickBot="1" x14ac:dyDescent="0.35">
      <c r="A18" s="443"/>
      <c r="B18" s="421"/>
      <c r="C18" s="357"/>
      <c r="D18" s="444"/>
    </row>
    <row r="19" spans="1:4" ht="15.75" thickBot="1" x14ac:dyDescent="0.3">
      <c r="A19" s="316" t="s">
        <v>2</v>
      </c>
      <c r="B19" s="426"/>
      <c r="C19" s="427"/>
      <c r="D19" s="284"/>
    </row>
    <row r="20" spans="1:4" ht="15.75" thickBot="1" x14ac:dyDescent="0.3">
      <c r="A20" s="171" t="s">
        <v>135</v>
      </c>
      <c r="B20" s="369">
        <v>0</v>
      </c>
      <c r="C20" s="370">
        <v>0</v>
      </c>
      <c r="D20" s="428">
        <v>0</v>
      </c>
    </row>
    <row r="21" spans="1:4" thickBot="1" x14ac:dyDescent="0.35">
      <c r="A21" s="174" t="s">
        <v>130</v>
      </c>
      <c r="B21" s="371">
        <v>0</v>
      </c>
      <c r="C21" s="372">
        <v>0</v>
      </c>
      <c r="D21" s="372">
        <v>0</v>
      </c>
    </row>
    <row r="22" spans="1:4" thickBot="1" x14ac:dyDescent="0.35">
      <c r="A22" s="443"/>
      <c r="B22" s="421"/>
      <c r="C22" s="357"/>
      <c r="D22" s="444"/>
    </row>
    <row r="23" spans="1:4" ht="15.75" thickBot="1" x14ac:dyDescent="0.3">
      <c r="A23" s="317" t="s">
        <v>136</v>
      </c>
      <c r="B23" s="373"/>
      <c r="C23" s="429"/>
      <c r="D23" s="415"/>
    </row>
    <row r="24" spans="1:4" ht="15.75" thickBot="1" x14ac:dyDescent="0.3">
      <c r="A24" s="179" t="s">
        <v>137</v>
      </c>
      <c r="B24" s="376">
        <v>0</v>
      </c>
      <c r="C24" s="377">
        <v>4828.32</v>
      </c>
      <c r="D24" s="430">
        <v>10000</v>
      </c>
    </row>
    <row r="25" spans="1:4" thickBot="1" x14ac:dyDescent="0.35">
      <c r="A25" s="182" t="s">
        <v>130</v>
      </c>
      <c r="B25" s="378">
        <v>0</v>
      </c>
      <c r="C25" s="379">
        <v>4828.32</v>
      </c>
      <c r="D25" s="379">
        <f>D24</f>
        <v>10000</v>
      </c>
    </row>
    <row r="26" spans="1:4" thickBot="1" x14ac:dyDescent="0.35">
      <c r="A26" s="443"/>
      <c r="B26" s="421"/>
      <c r="C26" s="357"/>
      <c r="D26" s="444"/>
    </row>
    <row r="27" spans="1:4" thickBot="1" x14ac:dyDescent="0.35">
      <c r="A27" s="319" t="s">
        <v>3</v>
      </c>
      <c r="B27" s="431"/>
      <c r="C27" s="432"/>
      <c r="D27" s="416"/>
    </row>
    <row r="28" spans="1:4" x14ac:dyDescent="0.25">
      <c r="A28" s="382" t="s">
        <v>201</v>
      </c>
      <c r="B28" s="385">
        <v>0</v>
      </c>
      <c r="C28" s="433">
        <v>0</v>
      </c>
      <c r="D28" s="385">
        <v>0</v>
      </c>
    </row>
    <row r="29" spans="1:4" ht="14.45" x14ac:dyDescent="0.3">
      <c r="A29" s="386" t="s">
        <v>202</v>
      </c>
      <c r="B29" s="388">
        <v>0</v>
      </c>
      <c r="C29" s="434">
        <v>0</v>
      </c>
      <c r="D29" s="388">
        <v>0</v>
      </c>
    </row>
    <row r="30" spans="1:4" thickBot="1" x14ac:dyDescent="0.35">
      <c r="A30" s="389" t="s">
        <v>203</v>
      </c>
      <c r="B30" s="391">
        <v>0</v>
      </c>
      <c r="C30" s="435">
        <v>0</v>
      </c>
      <c r="D30" s="391">
        <v>0</v>
      </c>
    </row>
    <row r="31" spans="1:4" thickBot="1" x14ac:dyDescent="0.35">
      <c r="A31" s="279" t="s">
        <v>130</v>
      </c>
      <c r="B31" s="393">
        <v>0</v>
      </c>
      <c r="C31" s="436">
        <v>0</v>
      </c>
      <c r="D31" s="393">
        <v>0</v>
      </c>
    </row>
    <row r="32" spans="1:4" thickBot="1" x14ac:dyDescent="0.35">
      <c r="A32" s="443"/>
      <c r="B32" s="421"/>
      <c r="C32" s="357"/>
      <c r="D32" s="444"/>
    </row>
    <row r="33" spans="1:4" ht="15.75" thickBot="1" x14ac:dyDescent="0.3">
      <c r="A33" s="321" t="s">
        <v>5</v>
      </c>
      <c r="B33" s="394"/>
      <c r="C33" s="437"/>
      <c r="D33" s="417"/>
    </row>
    <row r="34" spans="1:4" x14ac:dyDescent="0.25">
      <c r="A34" s="195" t="s">
        <v>204</v>
      </c>
      <c r="B34" s="397">
        <v>0</v>
      </c>
      <c r="C34" s="398">
        <v>19844.810000000001</v>
      </c>
      <c r="D34" s="397">
        <v>150000</v>
      </c>
    </row>
    <row r="35" spans="1:4" ht="15.75" thickBot="1" x14ac:dyDescent="0.3">
      <c r="A35" s="217" t="s">
        <v>153</v>
      </c>
      <c r="B35" s="399"/>
      <c r="C35" s="400"/>
      <c r="D35" s="399">
        <v>0</v>
      </c>
    </row>
    <row r="36" spans="1:4" thickBot="1" x14ac:dyDescent="0.35">
      <c r="A36" s="242" t="s">
        <v>130</v>
      </c>
      <c r="B36" s="401">
        <v>0</v>
      </c>
      <c r="C36" s="402">
        <v>19844.810000000001</v>
      </c>
      <c r="D36" s="401">
        <f>D34+D35</f>
        <v>150000</v>
      </c>
    </row>
    <row r="37" spans="1:4" ht="15.75" thickBot="1" x14ac:dyDescent="0.3">
      <c r="A37" s="443"/>
      <c r="B37" s="421"/>
      <c r="C37" s="357"/>
      <c r="D37" s="444"/>
    </row>
    <row r="38" spans="1:4" ht="15.75" thickBot="1" x14ac:dyDescent="0.3">
      <c r="A38" s="322" t="s">
        <v>13</v>
      </c>
      <c r="B38" s="403"/>
      <c r="C38" s="438"/>
      <c r="D38" s="418"/>
    </row>
    <row r="39" spans="1:4" ht="15.75" thickBot="1" x14ac:dyDescent="0.3">
      <c r="A39" s="323"/>
      <c r="B39" s="406"/>
      <c r="C39" s="407"/>
      <c r="D39" s="406">
        <v>0</v>
      </c>
    </row>
    <row r="40" spans="1:4" ht="15.75" thickBot="1" x14ac:dyDescent="0.3">
      <c r="A40" s="324" t="s">
        <v>130</v>
      </c>
      <c r="B40" s="408">
        <v>0</v>
      </c>
      <c r="C40" s="409">
        <v>0</v>
      </c>
      <c r="D40" s="410">
        <v>0</v>
      </c>
    </row>
    <row r="41" spans="1:4" ht="15.75" thickBot="1" x14ac:dyDescent="0.3">
      <c r="A41" s="443"/>
      <c r="B41" s="421"/>
      <c r="C41" s="357"/>
      <c r="D41" s="444"/>
    </row>
    <row r="42" spans="1:4" ht="19.5" thickBot="1" x14ac:dyDescent="0.35">
      <c r="A42" s="206" t="s">
        <v>10</v>
      </c>
      <c r="B42" s="411">
        <v>0</v>
      </c>
      <c r="C42" s="448">
        <v>749253</v>
      </c>
      <c r="D42" s="411">
        <f>D11+D17+D21+D31+D36+D40+D25</f>
        <v>1068253.5</v>
      </c>
    </row>
    <row r="43" spans="1:4" x14ac:dyDescent="0.25">
      <c r="A43" s="1"/>
      <c r="B43" s="314"/>
      <c r="C43" s="314"/>
      <c r="D43" s="314"/>
    </row>
    <row r="44" spans="1:4" ht="19.5" hidden="1" customHeight="1" thickBot="1" x14ac:dyDescent="0.4">
      <c r="B44" s="585"/>
      <c r="C44" s="586"/>
      <c r="D44" s="329"/>
    </row>
    <row r="45" spans="1:4" ht="14.45" customHeight="1" x14ac:dyDescent="0.25">
      <c r="A45" s="576" t="s">
        <v>241</v>
      </c>
      <c r="B45" s="576"/>
      <c r="C45" s="576"/>
      <c r="D45" s="576"/>
    </row>
    <row r="46" spans="1:4" x14ac:dyDescent="0.25">
      <c r="A46" s="576"/>
      <c r="B46" s="576"/>
      <c r="C46" s="576"/>
      <c r="D46" s="576"/>
    </row>
    <row r="47" spans="1:4" x14ac:dyDescent="0.25">
      <c r="A47" s="576"/>
      <c r="B47" s="576"/>
      <c r="C47" s="576"/>
      <c r="D47" s="576"/>
    </row>
    <row r="48" spans="1:4" x14ac:dyDescent="0.25">
      <c r="A48" s="576"/>
      <c r="B48" s="576"/>
      <c r="C48" s="576"/>
      <c r="D48" s="576"/>
    </row>
    <row r="49" spans="1:4" ht="8.4499999999999993" customHeight="1" x14ac:dyDescent="0.25">
      <c r="A49" s="576"/>
      <c r="B49" s="576"/>
      <c r="C49" s="576"/>
      <c r="D49" s="576"/>
    </row>
    <row r="50" spans="1:4" ht="9.6" hidden="1" customHeight="1" x14ac:dyDescent="0.3">
      <c r="A50" s="576"/>
      <c r="B50" s="576"/>
      <c r="C50" s="576"/>
      <c r="D50" s="576"/>
    </row>
    <row r="51" spans="1:4" ht="14.45" customHeight="1" x14ac:dyDescent="0.25">
      <c r="A51" s="576" t="s">
        <v>277</v>
      </c>
      <c r="B51" s="576"/>
      <c r="C51" s="576"/>
      <c r="D51" s="576"/>
    </row>
    <row r="52" spans="1:4" ht="22.9" customHeight="1" x14ac:dyDescent="0.25">
      <c r="A52" s="576"/>
      <c r="B52" s="576"/>
      <c r="C52" s="576"/>
      <c r="D52" s="576"/>
    </row>
    <row r="53" spans="1:4" ht="3.75" hidden="1" customHeight="1" x14ac:dyDescent="0.3">
      <c r="A53" s="576"/>
      <c r="B53" s="576"/>
      <c r="C53" s="576"/>
      <c r="D53" s="576"/>
    </row>
    <row r="54" spans="1:4" ht="14.45" hidden="1" customHeight="1" x14ac:dyDescent="0.3">
      <c r="A54" s="576"/>
      <c r="B54" s="576"/>
      <c r="C54" s="576"/>
      <c r="D54" s="576"/>
    </row>
    <row r="55" spans="1:4" ht="14.45" hidden="1" customHeight="1" x14ac:dyDescent="0.3">
      <c r="A55" s="576"/>
      <c r="B55" s="576"/>
      <c r="C55" s="576"/>
      <c r="D55" s="576"/>
    </row>
    <row r="56" spans="1:4" ht="14.45" hidden="1" customHeight="1" x14ac:dyDescent="0.3">
      <c r="A56" s="576"/>
      <c r="B56" s="576"/>
      <c r="C56" s="576"/>
      <c r="D56" s="576"/>
    </row>
    <row r="57" spans="1:4" ht="21" hidden="1" customHeight="1" x14ac:dyDescent="0.3">
      <c r="A57" s="576"/>
      <c r="B57" s="576"/>
      <c r="C57" s="576"/>
      <c r="D57" s="576"/>
    </row>
  </sheetData>
  <mergeCells count="3">
    <mergeCell ref="B44:C44"/>
    <mergeCell ref="A45:D50"/>
    <mergeCell ref="A51:D57"/>
  </mergeCells>
  <pageMargins left="0.7" right="0.7" top="0.78740157499999996" bottom="0.78740157499999996" header="0.3" footer="0.3"/>
  <pageSetup paperSize="9" scale="86" orientation="portrait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28" zoomScaleNormal="100" workbookViewId="0">
      <selection activeCell="F47" sqref="F47"/>
    </sheetView>
  </sheetViews>
  <sheetFormatPr defaultRowHeight="15" x14ac:dyDescent="0.25"/>
  <cols>
    <col min="1" max="1" width="37.7109375" bestFit="1" customWidth="1"/>
    <col min="2" max="2" width="19.42578125" customWidth="1"/>
    <col min="3" max="3" width="24" customWidth="1"/>
    <col min="4" max="4" width="25.5703125" customWidth="1"/>
    <col min="5" max="5" width="5.28515625" customWidth="1"/>
    <col min="6" max="6" width="14.7109375" bestFit="1" customWidth="1"/>
    <col min="7" max="7" width="11.42578125" bestFit="1" customWidth="1"/>
    <col min="12" max="12" width="18.42578125" hidden="1" customWidth="1"/>
    <col min="13" max="13" width="16.85546875" hidden="1" customWidth="1"/>
    <col min="14" max="15" width="0" hidden="1" customWidth="1"/>
  </cols>
  <sheetData>
    <row r="1" spans="1:13" ht="24" thickBot="1" x14ac:dyDescent="0.4">
      <c r="A1" s="126" t="s">
        <v>164</v>
      </c>
      <c r="B1" s="127"/>
      <c r="C1" s="127"/>
    </row>
    <row r="2" spans="1:13" ht="19.5" thickBot="1" x14ac:dyDescent="0.35">
      <c r="A2" s="212" t="s">
        <v>208</v>
      </c>
      <c r="B2" s="129" t="s">
        <v>102</v>
      </c>
      <c r="C2" s="129" t="s">
        <v>118</v>
      </c>
      <c r="D2" s="130" t="s">
        <v>119</v>
      </c>
      <c r="L2" s="130" t="s">
        <v>209</v>
      </c>
      <c r="M2" t="s">
        <v>210</v>
      </c>
    </row>
    <row r="3" spans="1:13" ht="15.75" thickBot="1" x14ac:dyDescent="0.3">
      <c r="A3" s="131" t="s">
        <v>120</v>
      </c>
      <c r="B3" s="132"/>
      <c r="C3" s="132"/>
      <c r="D3" s="133" t="s">
        <v>111</v>
      </c>
      <c r="L3" s="133"/>
      <c r="M3" s="50" t="e">
        <f>L3-D3</f>
        <v>#VALUE!</v>
      </c>
    </row>
    <row r="4" spans="1:13" ht="14.45" x14ac:dyDescent="0.3">
      <c r="A4" s="134" t="s">
        <v>122</v>
      </c>
      <c r="B4" s="135"/>
      <c r="C4" s="136">
        <v>2307804</v>
      </c>
      <c r="D4" s="137">
        <v>2922217</v>
      </c>
      <c r="L4" s="137">
        <v>2922217</v>
      </c>
      <c r="M4" s="50">
        <f t="shared" ref="M4:M44" si="0">L4-D4</f>
        <v>0</v>
      </c>
    </row>
    <row r="5" spans="1:13" x14ac:dyDescent="0.25">
      <c r="A5" s="138" t="s">
        <v>123</v>
      </c>
      <c r="B5" s="139"/>
      <c r="C5" s="140">
        <v>303212</v>
      </c>
      <c r="D5" s="141">
        <v>310000</v>
      </c>
      <c r="L5" s="141">
        <v>310000</v>
      </c>
      <c r="M5" s="50">
        <f t="shared" si="0"/>
        <v>0</v>
      </c>
    </row>
    <row r="6" spans="1:13" x14ac:dyDescent="0.25">
      <c r="A6" s="138" t="s">
        <v>170</v>
      </c>
      <c r="B6" s="139"/>
      <c r="C6" s="140">
        <v>949564.27</v>
      </c>
      <c r="D6" s="141">
        <v>1177173</v>
      </c>
      <c r="F6" s="50"/>
      <c r="L6" s="141">
        <v>1177173</v>
      </c>
      <c r="M6" s="50">
        <f t="shared" si="0"/>
        <v>0</v>
      </c>
    </row>
    <row r="7" spans="1:13" x14ac:dyDescent="0.25">
      <c r="A7" s="138" t="s">
        <v>125</v>
      </c>
      <c r="B7" s="139"/>
      <c r="C7" s="140">
        <v>0</v>
      </c>
      <c r="D7" s="141">
        <v>50000</v>
      </c>
      <c r="L7" s="141">
        <v>50000</v>
      </c>
      <c r="M7" s="50">
        <f t="shared" si="0"/>
        <v>0</v>
      </c>
    </row>
    <row r="8" spans="1:13" x14ac:dyDescent="0.25">
      <c r="A8" s="138" t="s">
        <v>149</v>
      </c>
      <c r="B8" s="139"/>
      <c r="C8" s="140">
        <v>0</v>
      </c>
      <c r="D8" s="141">
        <f>D7*0.3442</f>
        <v>17210</v>
      </c>
      <c r="L8" s="141">
        <f>L7*0.3442</f>
        <v>17210</v>
      </c>
      <c r="M8" s="50">
        <f t="shared" si="0"/>
        <v>0</v>
      </c>
    </row>
    <row r="9" spans="1:13" ht="14.45" x14ac:dyDescent="0.3">
      <c r="A9" s="138" t="s">
        <v>127</v>
      </c>
      <c r="B9" s="139"/>
      <c r="C9" s="140">
        <v>12350</v>
      </c>
      <c r="D9" s="141">
        <v>50000</v>
      </c>
      <c r="L9" s="141">
        <v>50000</v>
      </c>
      <c r="M9" s="50">
        <f t="shared" si="0"/>
        <v>0</v>
      </c>
    </row>
    <row r="10" spans="1:13" x14ac:dyDescent="0.25">
      <c r="A10" s="138" t="s">
        <v>128</v>
      </c>
      <c r="B10" s="139"/>
      <c r="C10" s="140">
        <v>77732</v>
      </c>
      <c r="D10" s="141">
        <v>103224</v>
      </c>
      <c r="L10" s="141">
        <v>103224</v>
      </c>
      <c r="M10" s="50">
        <f t="shared" si="0"/>
        <v>0</v>
      </c>
    </row>
    <row r="11" spans="1:13" x14ac:dyDescent="0.25">
      <c r="A11" s="138" t="s">
        <v>129</v>
      </c>
      <c r="B11" s="139"/>
      <c r="C11" s="140">
        <v>967</v>
      </c>
      <c r="D11" s="141">
        <v>2000</v>
      </c>
      <c r="L11" s="141">
        <v>2000</v>
      </c>
      <c r="M11" s="50">
        <f t="shared" si="0"/>
        <v>0</v>
      </c>
    </row>
    <row r="12" spans="1:13" thickBot="1" x14ac:dyDescent="0.35">
      <c r="A12" s="143"/>
      <c r="B12" s="144"/>
      <c r="C12" s="145"/>
      <c r="D12" s="146"/>
      <c r="L12" s="146"/>
      <c r="M12" s="50">
        <f t="shared" si="0"/>
        <v>0</v>
      </c>
    </row>
    <row r="13" spans="1:13" thickBot="1" x14ac:dyDescent="0.35">
      <c r="A13" s="148" t="s">
        <v>130</v>
      </c>
      <c r="B13" s="149">
        <v>3810000</v>
      </c>
      <c r="C13" s="149">
        <f>SUM(C4:C12)</f>
        <v>3651629.27</v>
      </c>
      <c r="D13" s="149">
        <f>SUM(D4:D12)</f>
        <v>4631824</v>
      </c>
      <c r="E13" t="s">
        <v>43</v>
      </c>
      <c r="F13" s="282"/>
      <c r="L13" s="149">
        <f>SUM(L4:L12)</f>
        <v>4631824</v>
      </c>
      <c r="M13" s="50">
        <f t="shared" si="0"/>
        <v>0</v>
      </c>
    </row>
    <row r="14" spans="1:13" thickBot="1" x14ac:dyDescent="0.35">
      <c r="A14" s="150"/>
      <c r="B14" s="151"/>
      <c r="C14" s="151"/>
      <c r="D14" s="152"/>
      <c r="L14" s="152"/>
      <c r="M14" s="50">
        <f t="shared" si="0"/>
        <v>0</v>
      </c>
    </row>
    <row r="15" spans="1:13" ht="15.75" thickBot="1" x14ac:dyDescent="0.3">
      <c r="A15" s="153" t="s">
        <v>1</v>
      </c>
      <c r="B15" s="154"/>
      <c r="C15" s="154"/>
      <c r="D15" s="155"/>
      <c r="L15" s="155"/>
      <c r="M15" s="50">
        <f t="shared" si="0"/>
        <v>0</v>
      </c>
    </row>
    <row r="16" spans="1:13" x14ac:dyDescent="0.25">
      <c r="A16" s="156" t="s">
        <v>131</v>
      </c>
      <c r="B16" s="157"/>
      <c r="C16" s="157">
        <v>8783</v>
      </c>
      <c r="D16" s="158">
        <v>15000</v>
      </c>
      <c r="L16" s="158">
        <v>15000</v>
      </c>
      <c r="M16" s="50">
        <f t="shared" si="0"/>
        <v>0</v>
      </c>
    </row>
    <row r="17" spans="1:13" x14ac:dyDescent="0.25">
      <c r="A17" s="159" t="s">
        <v>132</v>
      </c>
      <c r="B17" s="160"/>
      <c r="C17" s="160">
        <v>73355</v>
      </c>
      <c r="D17" s="161">
        <v>100000</v>
      </c>
      <c r="L17" s="161">
        <v>100000</v>
      </c>
      <c r="M17" s="50">
        <f t="shared" si="0"/>
        <v>0</v>
      </c>
    </row>
    <row r="18" spans="1:13" ht="14.45" x14ac:dyDescent="0.3">
      <c r="A18" s="159" t="s">
        <v>133</v>
      </c>
      <c r="B18" s="160"/>
      <c r="C18" s="160">
        <v>48659.1</v>
      </c>
      <c r="D18" s="161">
        <v>80000</v>
      </c>
      <c r="L18" s="161">
        <v>100000</v>
      </c>
      <c r="M18" s="50">
        <f t="shared" si="0"/>
        <v>20000</v>
      </c>
    </row>
    <row r="19" spans="1:13" x14ac:dyDescent="0.25">
      <c r="A19" s="162" t="s">
        <v>211</v>
      </c>
      <c r="B19" s="163"/>
      <c r="C19" s="163">
        <f>C21-(C16+C17+C18)</f>
        <v>492336.23</v>
      </c>
      <c r="D19" s="161">
        <v>950000</v>
      </c>
      <c r="L19" s="161">
        <v>950000</v>
      </c>
      <c r="M19" s="50">
        <f t="shared" si="0"/>
        <v>0</v>
      </c>
    </row>
    <row r="20" spans="1:13" thickBot="1" x14ac:dyDescent="0.35">
      <c r="A20" s="162"/>
      <c r="B20" s="163"/>
      <c r="C20" s="163"/>
      <c r="D20" s="164"/>
      <c r="L20" s="164"/>
      <c r="M20" s="50">
        <f t="shared" si="0"/>
        <v>0</v>
      </c>
    </row>
    <row r="21" spans="1:13" thickBot="1" x14ac:dyDescent="0.35">
      <c r="A21" s="165" t="s">
        <v>130</v>
      </c>
      <c r="B21" s="166">
        <v>811000</v>
      </c>
      <c r="C21" s="166">
        <v>623133.32999999996</v>
      </c>
      <c r="D21" s="214">
        <f>SUM(D16:D20)</f>
        <v>1145000</v>
      </c>
      <c r="L21" s="214">
        <f>SUM(L16:L20)</f>
        <v>1165000</v>
      </c>
      <c r="M21" s="50">
        <f t="shared" si="0"/>
        <v>20000</v>
      </c>
    </row>
    <row r="22" spans="1:13" thickBot="1" x14ac:dyDescent="0.35">
      <c r="A22" s="150"/>
      <c r="B22" s="167"/>
      <c r="C22" s="167"/>
      <c r="D22" s="34"/>
      <c r="L22" s="34"/>
      <c r="M22" s="50">
        <f t="shared" si="0"/>
        <v>0</v>
      </c>
    </row>
    <row r="23" spans="1:13" ht="15.75" thickBot="1" x14ac:dyDescent="0.3">
      <c r="A23" s="168" t="s">
        <v>2</v>
      </c>
      <c r="B23" s="169"/>
      <c r="C23" s="169"/>
      <c r="D23" s="170"/>
      <c r="L23" s="170"/>
      <c r="M23" s="50">
        <f t="shared" si="0"/>
        <v>0</v>
      </c>
    </row>
    <row r="24" spans="1:13" ht="15.75" thickBot="1" x14ac:dyDescent="0.3">
      <c r="A24" s="171" t="s">
        <v>135</v>
      </c>
      <c r="B24" s="172"/>
      <c r="C24" s="172">
        <v>568</v>
      </c>
      <c r="D24" s="173">
        <v>5000</v>
      </c>
      <c r="E24" t="s">
        <v>189</v>
      </c>
      <c r="L24" s="173">
        <v>5000</v>
      </c>
      <c r="M24" s="50">
        <f t="shared" si="0"/>
        <v>0</v>
      </c>
    </row>
    <row r="25" spans="1:13" thickBot="1" x14ac:dyDescent="0.35">
      <c r="A25" s="174" t="s">
        <v>130</v>
      </c>
      <c r="B25" s="175">
        <v>2000</v>
      </c>
      <c r="C25" s="175">
        <v>568</v>
      </c>
      <c r="D25" s="215">
        <f>SUM(D24)</f>
        <v>5000</v>
      </c>
      <c r="L25" s="215">
        <f>SUM(L24)</f>
        <v>5000</v>
      </c>
      <c r="M25" s="50">
        <f t="shared" si="0"/>
        <v>0</v>
      </c>
    </row>
    <row r="26" spans="1:13" ht="14.45" x14ac:dyDescent="0.3">
      <c r="A26" s="150"/>
      <c r="B26" s="167"/>
      <c r="C26" s="167"/>
      <c r="D26" s="34"/>
      <c r="L26" s="34"/>
      <c r="M26" s="50">
        <f t="shared" si="0"/>
        <v>0</v>
      </c>
    </row>
    <row r="27" spans="1:13" thickBot="1" x14ac:dyDescent="0.35">
      <c r="A27" s="150"/>
      <c r="B27" s="167"/>
      <c r="C27" s="167"/>
      <c r="D27" s="34"/>
      <c r="L27" s="34"/>
      <c r="M27" s="50">
        <f t="shared" si="0"/>
        <v>0</v>
      </c>
    </row>
    <row r="28" spans="1:13" ht="15.75" thickBot="1" x14ac:dyDescent="0.3">
      <c r="A28" s="176" t="s">
        <v>136</v>
      </c>
      <c r="B28" s="177"/>
      <c r="C28" s="177"/>
      <c r="D28" s="178"/>
      <c r="L28" s="178"/>
      <c r="M28" s="50">
        <f t="shared" si="0"/>
        <v>0</v>
      </c>
    </row>
    <row r="29" spans="1:13" ht="15.75" thickBot="1" x14ac:dyDescent="0.3">
      <c r="A29" s="179" t="s">
        <v>137</v>
      </c>
      <c r="B29" s="180"/>
      <c r="C29" s="180">
        <v>1022548.39</v>
      </c>
      <c r="D29" s="181">
        <v>1250000</v>
      </c>
      <c r="E29" t="s">
        <v>212</v>
      </c>
      <c r="L29" s="181">
        <v>1400000</v>
      </c>
      <c r="M29" s="50">
        <f t="shared" si="0"/>
        <v>150000</v>
      </c>
    </row>
    <row r="30" spans="1:13" thickBot="1" x14ac:dyDescent="0.35">
      <c r="A30" s="182" t="s">
        <v>130</v>
      </c>
      <c r="B30" s="183">
        <v>1200000</v>
      </c>
      <c r="C30" s="183">
        <v>1022548</v>
      </c>
      <c r="D30" s="216">
        <f>SUM(D29)</f>
        <v>1250000</v>
      </c>
      <c r="L30" s="216">
        <f>SUM(L29)</f>
        <v>1400000</v>
      </c>
      <c r="M30" s="50">
        <f t="shared" si="0"/>
        <v>150000</v>
      </c>
    </row>
    <row r="31" spans="1:13" thickBot="1" x14ac:dyDescent="0.35">
      <c r="A31" s="150"/>
      <c r="B31" s="167"/>
      <c r="C31" s="167"/>
      <c r="D31" s="34"/>
      <c r="L31" s="34"/>
      <c r="M31" s="50">
        <f t="shared" si="0"/>
        <v>0</v>
      </c>
    </row>
    <row r="32" spans="1:13" thickBot="1" x14ac:dyDescent="0.35">
      <c r="A32" s="235" t="s">
        <v>3</v>
      </c>
      <c r="B32" s="236"/>
      <c r="C32" s="236"/>
      <c r="D32" s="187">
        <v>0</v>
      </c>
      <c r="L32" s="187">
        <v>0</v>
      </c>
      <c r="M32" s="50">
        <f t="shared" si="0"/>
        <v>0</v>
      </c>
    </row>
    <row r="33" spans="1:13" thickBot="1" x14ac:dyDescent="0.35">
      <c r="A33" s="237" t="s">
        <v>130</v>
      </c>
      <c r="B33" s="238">
        <v>0</v>
      </c>
      <c r="C33" s="238"/>
      <c r="D33" s="190">
        <v>0</v>
      </c>
      <c r="L33" s="190">
        <v>0</v>
      </c>
      <c r="M33" s="50">
        <f t="shared" si="0"/>
        <v>0</v>
      </c>
    </row>
    <row r="34" spans="1:13" thickBot="1" x14ac:dyDescent="0.35">
      <c r="A34" s="150"/>
      <c r="B34" s="167"/>
      <c r="C34" s="167"/>
      <c r="D34" s="191"/>
      <c r="L34" s="191"/>
      <c r="M34" s="50">
        <f t="shared" si="0"/>
        <v>0</v>
      </c>
    </row>
    <row r="35" spans="1:13" ht="15.75" thickBot="1" x14ac:dyDescent="0.3">
      <c r="A35" s="192" t="s">
        <v>5</v>
      </c>
      <c r="B35" s="193"/>
      <c r="C35" s="193"/>
      <c r="D35" s="194"/>
      <c r="L35" s="194"/>
      <c r="M35" s="50">
        <f t="shared" si="0"/>
        <v>0</v>
      </c>
    </row>
    <row r="36" spans="1:13" ht="14.45" x14ac:dyDescent="0.3">
      <c r="A36" s="195" t="s">
        <v>138</v>
      </c>
      <c r="B36" s="196"/>
      <c r="C36" s="196">
        <v>16468.919999999998</v>
      </c>
      <c r="D36" s="197">
        <v>20000</v>
      </c>
      <c r="L36" s="197">
        <v>20000</v>
      </c>
      <c r="M36" s="50">
        <f t="shared" si="0"/>
        <v>0</v>
      </c>
    </row>
    <row r="37" spans="1:13" x14ac:dyDescent="0.25">
      <c r="A37" s="198" t="s">
        <v>139</v>
      </c>
      <c r="B37" s="199"/>
      <c r="C37" s="199">
        <v>0</v>
      </c>
      <c r="D37" s="200">
        <v>0</v>
      </c>
      <c r="L37" s="200" t="e">
        <f>#REF!</f>
        <v>#REF!</v>
      </c>
      <c r="M37" s="50" t="e">
        <f t="shared" si="0"/>
        <v>#REF!</v>
      </c>
    </row>
    <row r="38" spans="1:13" ht="14.45" x14ac:dyDescent="0.3">
      <c r="A38" s="198" t="s">
        <v>140</v>
      </c>
      <c r="B38" s="199"/>
      <c r="C38" s="199">
        <v>0</v>
      </c>
      <c r="D38" s="201">
        <v>0</v>
      </c>
      <c r="L38" s="201">
        <v>0</v>
      </c>
      <c r="M38" s="50">
        <f t="shared" si="0"/>
        <v>0</v>
      </c>
    </row>
    <row r="39" spans="1:13" ht="14.45" x14ac:dyDescent="0.3">
      <c r="A39" s="198" t="s">
        <v>141</v>
      </c>
      <c r="B39" s="199"/>
      <c r="C39" s="199">
        <v>89745</v>
      </c>
      <c r="D39" s="200">
        <v>100000</v>
      </c>
      <c r="L39" s="200">
        <v>100000</v>
      </c>
      <c r="M39" s="50">
        <f t="shared" si="0"/>
        <v>0</v>
      </c>
    </row>
    <row r="40" spans="1:13" x14ac:dyDescent="0.25">
      <c r="A40" s="198" t="s">
        <v>142</v>
      </c>
      <c r="B40" s="199"/>
      <c r="C40" s="199">
        <v>12157</v>
      </c>
      <c r="D40" s="200">
        <v>15000</v>
      </c>
      <c r="L40" s="200">
        <v>15000</v>
      </c>
      <c r="M40" s="50">
        <f t="shared" si="0"/>
        <v>0</v>
      </c>
    </row>
    <row r="41" spans="1:13" ht="15" customHeight="1" x14ac:dyDescent="0.25">
      <c r="A41" s="198" t="s">
        <v>213</v>
      </c>
      <c r="B41" s="199"/>
      <c r="C41" s="199">
        <v>437164.65</v>
      </c>
      <c r="D41" s="200">
        <v>450000</v>
      </c>
      <c r="E41" s="331"/>
      <c r="F41" s="464"/>
      <c r="G41" s="464"/>
      <c r="H41" s="464"/>
      <c r="I41" s="54"/>
      <c r="J41" s="54"/>
      <c r="K41" s="54"/>
      <c r="L41" s="200">
        <v>950000</v>
      </c>
      <c r="M41" s="50">
        <f t="shared" si="0"/>
        <v>500000</v>
      </c>
    </row>
    <row r="42" spans="1:13" thickBot="1" x14ac:dyDescent="0.35">
      <c r="A42" s="202" t="s">
        <v>130</v>
      </c>
      <c r="B42" s="203">
        <v>485000</v>
      </c>
      <c r="C42" s="203">
        <f>SUM(C36:C41)</f>
        <v>555535.57000000007</v>
      </c>
      <c r="D42" s="291">
        <f>SUM(D36:D41)</f>
        <v>585000</v>
      </c>
      <c r="L42" s="291" t="e">
        <f>SUM(L36:L41)</f>
        <v>#REF!</v>
      </c>
      <c r="M42" s="50" t="e">
        <f t="shared" si="0"/>
        <v>#REF!</v>
      </c>
    </row>
    <row r="43" spans="1:13" thickBot="1" x14ac:dyDescent="0.35">
      <c r="A43" s="14" t="s">
        <v>214</v>
      </c>
      <c r="B43" s="332">
        <v>219302</v>
      </c>
      <c r="C43" s="332">
        <v>239078</v>
      </c>
      <c r="D43" s="332">
        <v>148000</v>
      </c>
      <c r="L43" s="205"/>
      <c r="M43" s="50">
        <f t="shared" si="0"/>
        <v>-148000</v>
      </c>
    </row>
    <row r="44" spans="1:13" ht="18.600000000000001" thickBot="1" x14ac:dyDescent="0.4">
      <c r="A44" s="206" t="s">
        <v>10</v>
      </c>
      <c r="B44" s="207">
        <f>B13+B21+B25+B30+B33+B42+B43</f>
        <v>6527302</v>
      </c>
      <c r="C44" s="207">
        <f>C13+C21+C25+C30+C33+C42+C43</f>
        <v>6092492.1699999999</v>
      </c>
      <c r="D44" s="208">
        <f>D42+D33+D30+D25+D21+D13+D43</f>
        <v>7764824</v>
      </c>
      <c r="L44" s="208" t="e">
        <f>L42+L33+L30+L25+L21+L13</f>
        <v>#REF!</v>
      </c>
      <c r="M44" s="61" t="e">
        <f t="shared" si="0"/>
        <v>#REF!</v>
      </c>
    </row>
    <row r="45" spans="1:13" ht="14.45" x14ac:dyDescent="0.3">
      <c r="A45" s="18"/>
      <c r="B45" s="18"/>
      <c r="C45" s="18"/>
      <c r="D45" s="18"/>
      <c r="L45" s="18"/>
    </row>
    <row r="46" spans="1:13" x14ac:dyDescent="0.25">
      <c r="A46" s="582" t="s">
        <v>259</v>
      </c>
      <c r="B46" s="582"/>
      <c r="C46" s="582"/>
      <c r="D46" s="582"/>
      <c r="L46" s="18"/>
    </row>
    <row r="47" spans="1:13" x14ac:dyDescent="0.25">
      <c r="A47" s="582"/>
      <c r="B47" s="582"/>
      <c r="C47" s="582"/>
      <c r="D47" s="582"/>
      <c r="L47" s="18"/>
    </row>
    <row r="48" spans="1:13" x14ac:dyDescent="0.25">
      <c r="A48" s="582"/>
      <c r="B48" s="582"/>
      <c r="C48" s="582"/>
      <c r="D48" s="582"/>
      <c r="L48" s="18"/>
    </row>
    <row r="49" spans="1:12" ht="6" customHeight="1" x14ac:dyDescent="0.25">
      <c r="A49" s="582"/>
      <c r="B49" s="582"/>
      <c r="C49" s="582"/>
      <c r="D49" s="582"/>
      <c r="L49" s="18"/>
    </row>
    <row r="50" spans="1:12" ht="14.45" hidden="1" x14ac:dyDescent="0.3">
      <c r="A50" s="582"/>
      <c r="B50" s="582"/>
      <c r="C50" s="582"/>
      <c r="D50" s="582"/>
      <c r="L50" s="18"/>
    </row>
    <row r="51" spans="1:12" ht="70.900000000000006" customHeight="1" x14ac:dyDescent="0.25">
      <c r="A51" s="563" t="s">
        <v>260</v>
      </c>
      <c r="B51" s="563"/>
      <c r="C51" s="563"/>
      <c r="D51" s="563"/>
    </row>
    <row r="52" spans="1:12" ht="57.6" customHeight="1" x14ac:dyDescent="0.25">
      <c r="A52" s="563" t="s">
        <v>261</v>
      </c>
      <c r="B52" s="563"/>
      <c r="C52" s="563"/>
      <c r="D52" s="563"/>
    </row>
    <row r="55" spans="1:12" ht="55.15" customHeight="1" x14ac:dyDescent="0.25"/>
  </sheetData>
  <mergeCells count="3">
    <mergeCell ref="A46:D50"/>
    <mergeCell ref="A51:D51"/>
    <mergeCell ref="A52:D52"/>
  </mergeCells>
  <pageMargins left="0.25" right="0.25" top="0.75" bottom="0.75" header="0.3" footer="0.3"/>
  <pageSetup paperSize="9" scale="88" orientation="portrait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16" zoomScale="90" zoomScaleNormal="90" workbookViewId="0">
      <selection activeCell="D36" sqref="D36"/>
    </sheetView>
  </sheetViews>
  <sheetFormatPr defaultRowHeight="15" outlineLevelCol="1" x14ac:dyDescent="0.25"/>
  <cols>
    <col min="1" max="1" width="44.28515625" customWidth="1"/>
    <col min="2" max="2" width="16.7109375" style="330" customWidth="1" outlineLevel="1"/>
    <col min="3" max="3" width="16" style="330" customWidth="1" outlineLevel="1"/>
    <col min="4" max="4" width="16.7109375" style="330" customWidth="1" outlineLevel="1"/>
  </cols>
  <sheetData>
    <row r="1" spans="1:4" ht="24" thickBot="1" x14ac:dyDescent="0.4">
      <c r="A1" s="337" t="s">
        <v>217</v>
      </c>
      <c r="B1" s="412"/>
      <c r="C1" s="412"/>
      <c r="D1" s="413"/>
    </row>
    <row r="2" spans="1:4" s="344" customFormat="1" ht="78.75" customHeight="1" thickBot="1" x14ac:dyDescent="0.3">
      <c r="A2" s="341" t="s">
        <v>242</v>
      </c>
      <c r="B2" s="342" t="s">
        <v>219</v>
      </c>
      <c r="C2" s="343" t="s">
        <v>243</v>
      </c>
      <c r="D2" s="343" t="s">
        <v>244</v>
      </c>
    </row>
    <row r="3" spans="1:4" ht="15.75" thickBot="1" x14ac:dyDescent="0.3">
      <c r="A3" s="311" t="s">
        <v>120</v>
      </c>
      <c r="B3" s="441"/>
      <c r="C3" s="442"/>
      <c r="D3" s="449" t="s">
        <v>245</v>
      </c>
    </row>
    <row r="4" spans="1:4" ht="14.45" x14ac:dyDescent="0.3">
      <c r="A4" s="134" t="s">
        <v>122</v>
      </c>
      <c r="B4" s="347">
        <v>0</v>
      </c>
      <c r="C4" s="348">
        <v>2063297</v>
      </c>
      <c r="D4" s="347">
        <v>2499150</v>
      </c>
    </row>
    <row r="5" spans="1:4" x14ac:dyDescent="0.25">
      <c r="A5" s="138" t="s">
        <v>123</v>
      </c>
      <c r="B5" s="350">
        <v>0</v>
      </c>
      <c r="C5" s="351">
        <v>198020</v>
      </c>
      <c r="D5" s="350">
        <v>340000</v>
      </c>
    </row>
    <row r="6" spans="1:4" x14ac:dyDescent="0.25">
      <c r="A6" s="138" t="s">
        <v>124</v>
      </c>
      <c r="B6" s="350">
        <v>0</v>
      </c>
      <c r="C6" s="351">
        <v>835074.15999999992</v>
      </c>
      <c r="D6" s="350">
        <v>1034018.43</v>
      </c>
    </row>
    <row r="7" spans="1:4" x14ac:dyDescent="0.25">
      <c r="A7" s="138" t="s">
        <v>125</v>
      </c>
      <c r="B7" s="350">
        <v>0</v>
      </c>
      <c r="C7" s="351">
        <v>41650</v>
      </c>
      <c r="D7" s="350">
        <v>80000</v>
      </c>
    </row>
    <row r="8" spans="1:4" x14ac:dyDescent="0.25">
      <c r="A8" s="138" t="s">
        <v>149</v>
      </c>
      <c r="B8" s="350">
        <v>0</v>
      </c>
      <c r="C8" s="351"/>
      <c r="D8" s="350">
        <v>27536</v>
      </c>
    </row>
    <row r="9" spans="1:4" ht="14.45" x14ac:dyDescent="0.3">
      <c r="A9" s="138" t="s">
        <v>127</v>
      </c>
      <c r="B9" s="350">
        <v>0</v>
      </c>
      <c r="C9" s="351">
        <v>47360</v>
      </c>
      <c r="D9" s="350">
        <v>60000</v>
      </c>
    </row>
    <row r="10" spans="1:4" ht="15.75" thickBot="1" x14ac:dyDescent="0.3">
      <c r="A10" s="138" t="s">
        <v>128</v>
      </c>
      <c r="B10" s="353">
        <v>0</v>
      </c>
      <c r="C10" s="354">
        <v>135654</v>
      </c>
      <c r="D10" s="353">
        <v>152545.25000000003</v>
      </c>
    </row>
    <row r="11" spans="1:4" thickBot="1" x14ac:dyDescent="0.35">
      <c r="A11" s="148" t="s">
        <v>130</v>
      </c>
      <c r="B11" s="355">
        <v>3327000</v>
      </c>
      <c r="C11" s="414">
        <v>3321055.16</v>
      </c>
      <c r="D11" s="356">
        <v>4193249.68</v>
      </c>
    </row>
    <row r="12" spans="1:4" thickBot="1" x14ac:dyDescent="0.35">
      <c r="A12" s="443"/>
      <c r="B12" s="421"/>
      <c r="C12" s="357"/>
      <c r="D12" s="357"/>
    </row>
    <row r="13" spans="1:4" ht="15.75" thickBot="1" x14ac:dyDescent="0.3">
      <c r="A13" s="315" t="s">
        <v>1</v>
      </c>
      <c r="B13" s="358"/>
      <c r="C13" s="422"/>
      <c r="D13" s="283"/>
    </row>
    <row r="14" spans="1:4" x14ac:dyDescent="0.25">
      <c r="A14" s="159" t="s">
        <v>200</v>
      </c>
      <c r="B14" s="362"/>
      <c r="C14" s="361"/>
      <c r="D14" s="360">
        <v>0</v>
      </c>
    </row>
    <row r="15" spans="1:4" x14ac:dyDescent="0.25">
      <c r="A15" s="162" t="s">
        <v>134</v>
      </c>
      <c r="B15" s="423">
        <v>776000</v>
      </c>
      <c r="C15" s="363">
        <v>673686.79999999993</v>
      </c>
      <c r="D15" s="362">
        <v>830000</v>
      </c>
    </row>
    <row r="16" spans="1:4" thickBot="1" x14ac:dyDescent="0.35">
      <c r="A16" s="162"/>
      <c r="B16" s="423"/>
      <c r="C16" s="363"/>
      <c r="D16" s="424">
        <v>0</v>
      </c>
    </row>
    <row r="17" spans="1:4" thickBot="1" x14ac:dyDescent="0.35">
      <c r="A17" s="165" t="s">
        <v>130</v>
      </c>
      <c r="B17" s="365">
        <v>776000</v>
      </c>
      <c r="C17" s="366">
        <v>673686.79999999993</v>
      </c>
      <c r="D17" s="447">
        <v>830000</v>
      </c>
    </row>
    <row r="18" spans="1:4" thickBot="1" x14ac:dyDescent="0.35">
      <c r="A18" s="443"/>
      <c r="B18" s="421"/>
      <c r="C18" s="357"/>
      <c r="D18" s="357"/>
    </row>
    <row r="19" spans="1:4" ht="15.75" thickBot="1" x14ac:dyDescent="0.3">
      <c r="A19" s="316" t="s">
        <v>2</v>
      </c>
      <c r="B19" s="426"/>
      <c r="C19" s="427"/>
      <c r="D19" s="284"/>
    </row>
    <row r="20" spans="1:4" ht="15.75" thickBot="1" x14ac:dyDescent="0.3">
      <c r="A20" s="171" t="s">
        <v>135</v>
      </c>
      <c r="B20" s="369">
        <v>2000</v>
      </c>
      <c r="C20" s="370">
        <v>0</v>
      </c>
      <c r="D20" s="428">
        <v>2000</v>
      </c>
    </row>
    <row r="21" spans="1:4" thickBot="1" x14ac:dyDescent="0.35">
      <c r="A21" s="174" t="s">
        <v>130</v>
      </c>
      <c r="B21" s="371">
        <v>2000</v>
      </c>
      <c r="C21" s="372">
        <v>0</v>
      </c>
      <c r="D21" s="372">
        <v>2000</v>
      </c>
    </row>
    <row r="22" spans="1:4" thickBot="1" x14ac:dyDescent="0.35">
      <c r="A22" s="443"/>
      <c r="B22" s="421"/>
      <c r="C22" s="357"/>
      <c r="D22" s="357"/>
    </row>
    <row r="23" spans="1:4" ht="15.75" thickBot="1" x14ac:dyDescent="0.3">
      <c r="A23" s="317" t="s">
        <v>136</v>
      </c>
      <c r="B23" s="373"/>
      <c r="C23" s="429"/>
      <c r="D23" s="415"/>
    </row>
    <row r="24" spans="1:4" ht="15.75" thickBot="1" x14ac:dyDescent="0.3">
      <c r="A24" s="179" t="s">
        <v>137</v>
      </c>
      <c r="B24" s="376">
        <v>30000</v>
      </c>
      <c r="C24" s="377">
        <v>7925.83</v>
      </c>
      <c r="D24" s="430">
        <v>30000</v>
      </c>
    </row>
    <row r="25" spans="1:4" thickBot="1" x14ac:dyDescent="0.35">
      <c r="A25" s="182" t="s">
        <v>130</v>
      </c>
      <c r="B25" s="378">
        <v>30000</v>
      </c>
      <c r="C25" s="379">
        <v>7925.83</v>
      </c>
      <c r="D25" s="379">
        <v>30000</v>
      </c>
    </row>
    <row r="26" spans="1:4" thickBot="1" x14ac:dyDescent="0.35">
      <c r="A26" s="443"/>
      <c r="B26" s="421"/>
      <c r="C26" s="357"/>
      <c r="D26" s="357"/>
    </row>
    <row r="27" spans="1:4" thickBot="1" x14ac:dyDescent="0.35">
      <c r="A27" s="319" t="s">
        <v>3</v>
      </c>
      <c r="B27" s="431"/>
      <c r="C27" s="432"/>
      <c r="D27" s="416"/>
    </row>
    <row r="28" spans="1:4" x14ac:dyDescent="0.25">
      <c r="A28" s="382" t="s">
        <v>201</v>
      </c>
      <c r="B28" s="385">
        <v>0</v>
      </c>
      <c r="C28" s="433">
        <v>0</v>
      </c>
      <c r="D28" s="385">
        <v>0</v>
      </c>
    </row>
    <row r="29" spans="1:4" ht="14.45" x14ac:dyDescent="0.3">
      <c r="A29" s="386" t="s">
        <v>202</v>
      </c>
      <c r="B29" s="388">
        <v>0</v>
      </c>
      <c r="C29" s="434">
        <v>0</v>
      </c>
      <c r="D29" s="388">
        <v>0</v>
      </c>
    </row>
    <row r="30" spans="1:4" thickBot="1" x14ac:dyDescent="0.35">
      <c r="A30" s="389" t="s">
        <v>203</v>
      </c>
      <c r="B30" s="391">
        <v>0</v>
      </c>
      <c r="C30" s="435">
        <v>0</v>
      </c>
      <c r="D30" s="391">
        <v>0</v>
      </c>
    </row>
    <row r="31" spans="1:4" thickBot="1" x14ac:dyDescent="0.35">
      <c r="A31" s="279" t="s">
        <v>130</v>
      </c>
      <c r="B31" s="393">
        <v>0</v>
      </c>
      <c r="C31" s="436">
        <v>0</v>
      </c>
      <c r="D31" s="393">
        <v>0</v>
      </c>
    </row>
    <row r="32" spans="1:4" thickBot="1" x14ac:dyDescent="0.35">
      <c r="A32" s="443"/>
      <c r="B32" s="421"/>
      <c r="C32" s="357"/>
      <c r="D32" s="357"/>
    </row>
    <row r="33" spans="1:4" ht="15.75" thickBot="1" x14ac:dyDescent="0.3">
      <c r="A33" s="321" t="s">
        <v>5</v>
      </c>
      <c r="B33" s="394"/>
      <c r="C33" s="437"/>
      <c r="D33" s="417"/>
    </row>
    <row r="34" spans="1:4" x14ac:dyDescent="0.25">
      <c r="A34" s="195" t="s">
        <v>204</v>
      </c>
      <c r="B34" s="397">
        <v>886000</v>
      </c>
      <c r="C34" s="398">
        <v>657007.46</v>
      </c>
      <c r="D34" s="397">
        <v>1100000</v>
      </c>
    </row>
    <row r="35" spans="1:4" ht="15.75" thickBot="1" x14ac:dyDescent="0.3">
      <c r="A35" s="217" t="s">
        <v>153</v>
      </c>
      <c r="B35" s="399"/>
      <c r="C35" s="400"/>
      <c r="D35" s="399">
        <v>0</v>
      </c>
    </row>
    <row r="36" spans="1:4" thickBot="1" x14ac:dyDescent="0.35">
      <c r="A36" s="242" t="s">
        <v>130</v>
      </c>
      <c r="B36" s="401">
        <v>886000</v>
      </c>
      <c r="C36" s="402">
        <v>657007.46</v>
      </c>
      <c r="D36" s="401">
        <v>1100000</v>
      </c>
    </row>
    <row r="37" spans="1:4" thickBot="1" x14ac:dyDescent="0.35">
      <c r="A37" s="443"/>
      <c r="B37" s="421"/>
      <c r="C37" s="357"/>
      <c r="D37" s="357"/>
    </row>
    <row r="38" spans="1:4" thickBot="1" x14ac:dyDescent="0.35">
      <c r="A38" s="322" t="s">
        <v>13</v>
      </c>
      <c r="B38" s="403"/>
      <c r="C38" s="438"/>
      <c r="D38" s="418"/>
    </row>
    <row r="39" spans="1:4" thickBot="1" x14ac:dyDescent="0.35">
      <c r="A39" s="323"/>
      <c r="B39" s="406"/>
      <c r="C39" s="407"/>
      <c r="D39" s="406">
        <v>0</v>
      </c>
    </row>
    <row r="40" spans="1:4" ht="15.75" thickBot="1" x14ac:dyDescent="0.3">
      <c r="A40" s="324" t="s">
        <v>130</v>
      </c>
      <c r="B40" s="408"/>
      <c r="C40" s="409">
        <v>0</v>
      </c>
      <c r="D40" s="410">
        <v>0</v>
      </c>
    </row>
    <row r="41" spans="1:4" ht="15.75" thickBot="1" x14ac:dyDescent="0.3">
      <c r="A41" s="443"/>
      <c r="B41" s="421"/>
      <c r="C41" s="357"/>
      <c r="D41" s="357"/>
    </row>
    <row r="42" spans="1:4" ht="19.5" thickBot="1" x14ac:dyDescent="0.35">
      <c r="A42" s="206" t="s">
        <v>10</v>
      </c>
      <c r="B42" s="411">
        <v>5021000</v>
      </c>
      <c r="C42" s="448">
        <v>4659675.25</v>
      </c>
      <c r="D42" s="411">
        <v>6155249.6799999997</v>
      </c>
    </row>
    <row r="43" spans="1:4" x14ac:dyDescent="0.25">
      <c r="A43" s="1"/>
      <c r="B43" s="314"/>
      <c r="C43" s="314"/>
      <c r="D43" s="314"/>
    </row>
    <row r="44" spans="1:4" ht="19.5" hidden="1" customHeight="1" thickBot="1" x14ac:dyDescent="0.4">
      <c r="B44" s="585"/>
      <c r="C44" s="585"/>
      <c r="D44" s="329"/>
    </row>
    <row r="45" spans="1:4" ht="14.45" customHeight="1" x14ac:dyDescent="0.25">
      <c r="A45" s="582" t="s">
        <v>246</v>
      </c>
      <c r="B45" s="582"/>
      <c r="C45" s="582"/>
      <c r="D45" s="582"/>
    </row>
    <row r="46" spans="1:4" x14ac:dyDescent="0.25">
      <c r="A46" s="582"/>
      <c r="B46" s="582"/>
      <c r="C46" s="582"/>
      <c r="D46" s="582"/>
    </row>
    <row r="47" spans="1:4" ht="15" customHeight="1" x14ac:dyDescent="0.25">
      <c r="A47" s="582"/>
      <c r="B47" s="582"/>
      <c r="C47" s="582"/>
      <c r="D47" s="582"/>
    </row>
    <row r="48" spans="1:4" ht="2.25" customHeight="1" x14ac:dyDescent="0.25">
      <c r="A48" s="582"/>
      <c r="B48" s="582"/>
      <c r="C48" s="582"/>
      <c r="D48" s="582"/>
    </row>
    <row r="50" spans="1:4" ht="14.45" customHeight="1" x14ac:dyDescent="0.25">
      <c r="A50" s="582" t="s">
        <v>247</v>
      </c>
      <c r="B50" s="582"/>
      <c r="C50" s="582"/>
      <c r="D50" s="582"/>
    </row>
    <row r="51" spans="1:4" x14ac:dyDescent="0.25">
      <c r="A51" s="582"/>
      <c r="B51" s="582"/>
      <c r="C51" s="582"/>
      <c r="D51" s="582"/>
    </row>
    <row r="52" spans="1:4" ht="7.9" customHeight="1" x14ac:dyDescent="0.25">
      <c r="A52" s="582"/>
      <c r="B52" s="582"/>
      <c r="C52" s="582"/>
      <c r="D52" s="582"/>
    </row>
    <row r="53" spans="1:4" ht="14.45" hidden="1" customHeight="1" x14ac:dyDescent="0.3">
      <c r="A53" s="582"/>
      <c r="B53" s="582"/>
      <c r="C53" s="582"/>
      <c r="D53" s="582"/>
    </row>
    <row r="54" spans="1:4" ht="14.45" hidden="1" customHeight="1" x14ac:dyDescent="0.3">
      <c r="A54" s="582"/>
      <c r="B54" s="582"/>
      <c r="C54" s="582"/>
      <c r="D54" s="582"/>
    </row>
    <row r="55" spans="1:4" ht="38.450000000000003" customHeight="1" x14ac:dyDescent="0.25">
      <c r="A55" s="563" t="s">
        <v>248</v>
      </c>
      <c r="B55" s="563"/>
      <c r="C55" s="563"/>
      <c r="D55" s="563"/>
    </row>
  </sheetData>
  <mergeCells count="4">
    <mergeCell ref="B44:C44"/>
    <mergeCell ref="A45:D48"/>
    <mergeCell ref="A50:D54"/>
    <mergeCell ref="A55:D55"/>
  </mergeCells>
  <pageMargins left="0.7" right="0.7" top="0.78740157499999996" bottom="0.78740157499999996" header="0.3" footer="0.3"/>
  <pageSetup paperSize="9" scale="93" orientation="portrait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28" zoomScale="90" zoomScaleNormal="90" workbookViewId="0">
      <selection activeCell="I43" sqref="I43"/>
    </sheetView>
  </sheetViews>
  <sheetFormatPr defaultRowHeight="15" outlineLevelCol="1" x14ac:dyDescent="0.25"/>
  <cols>
    <col min="1" max="1" width="44.28515625" customWidth="1"/>
    <col min="2" max="2" width="15.85546875" style="330" customWidth="1" outlineLevel="1"/>
    <col min="3" max="3" width="16.7109375" style="330" customWidth="1" outlineLevel="1"/>
    <col min="4" max="4" width="17.42578125" style="330" customWidth="1" outlineLevel="1"/>
  </cols>
  <sheetData>
    <row r="1" spans="1:4" ht="24" thickBot="1" x14ac:dyDescent="0.4">
      <c r="A1" s="337" t="s">
        <v>217</v>
      </c>
      <c r="B1" s="412"/>
      <c r="C1" s="412"/>
      <c r="D1" s="413"/>
    </row>
    <row r="2" spans="1:4" s="344" customFormat="1" ht="78.75" customHeight="1" thickBot="1" x14ac:dyDescent="0.3">
      <c r="A2" s="341" t="s">
        <v>228</v>
      </c>
      <c r="B2" s="342" t="s">
        <v>229</v>
      </c>
      <c r="C2" s="343" t="s">
        <v>230</v>
      </c>
      <c r="D2" s="343" t="s">
        <v>231</v>
      </c>
    </row>
    <row r="3" spans="1:4" ht="15.75" thickBot="1" x14ac:dyDescent="0.3">
      <c r="A3" s="311" t="s">
        <v>120</v>
      </c>
      <c r="B3" s="419"/>
      <c r="C3" s="345"/>
      <c r="D3" s="420" t="s">
        <v>232</v>
      </c>
    </row>
    <row r="4" spans="1:4" ht="14.45" x14ac:dyDescent="0.3">
      <c r="A4" s="134" t="s">
        <v>122</v>
      </c>
      <c r="B4" s="347">
        <v>0</v>
      </c>
      <c r="C4" s="348">
        <v>533994</v>
      </c>
      <c r="D4" s="347">
        <v>900000</v>
      </c>
    </row>
    <row r="5" spans="1:4" x14ac:dyDescent="0.25">
      <c r="A5" s="138" t="s">
        <v>123</v>
      </c>
      <c r="B5" s="350">
        <v>0</v>
      </c>
      <c r="C5" s="351">
        <v>50000</v>
      </c>
      <c r="D5" s="350">
        <v>92000</v>
      </c>
    </row>
    <row r="6" spans="1:4" x14ac:dyDescent="0.25">
      <c r="A6" s="138" t="s">
        <v>124</v>
      </c>
      <c r="B6" s="350">
        <v>0</v>
      </c>
      <c r="C6" s="351">
        <v>217675.68</v>
      </c>
      <c r="D6" s="350">
        <v>361286.40000000002</v>
      </c>
    </row>
    <row r="7" spans="1:4" x14ac:dyDescent="0.25">
      <c r="A7" s="138" t="s">
        <v>125</v>
      </c>
      <c r="B7" s="350">
        <v>0</v>
      </c>
      <c r="C7" s="351">
        <v>19399</v>
      </c>
      <c r="D7" s="350">
        <v>119000</v>
      </c>
    </row>
    <row r="8" spans="1:4" x14ac:dyDescent="0.25">
      <c r="A8" s="138" t="s">
        <v>149</v>
      </c>
      <c r="B8" s="350">
        <v>0</v>
      </c>
      <c r="C8" s="351"/>
      <c r="D8" s="350">
        <v>40959.800000000003</v>
      </c>
    </row>
    <row r="9" spans="1:4" ht="14.45" x14ac:dyDescent="0.3">
      <c r="A9" s="138" t="s">
        <v>127</v>
      </c>
      <c r="B9" s="350">
        <v>0</v>
      </c>
      <c r="C9" s="351">
        <v>22733</v>
      </c>
      <c r="D9" s="350">
        <v>50000</v>
      </c>
    </row>
    <row r="10" spans="1:4" ht="15.75" thickBot="1" x14ac:dyDescent="0.3">
      <c r="A10" s="138" t="s">
        <v>128</v>
      </c>
      <c r="B10" s="353">
        <v>0</v>
      </c>
      <c r="C10" s="354">
        <v>23000</v>
      </c>
      <c r="D10" s="353">
        <v>46937</v>
      </c>
    </row>
    <row r="11" spans="1:4" thickBot="1" x14ac:dyDescent="0.35">
      <c r="A11" s="148" t="s">
        <v>130</v>
      </c>
      <c r="B11" s="355">
        <v>1060000</v>
      </c>
      <c r="C11" s="414">
        <v>866801.67999999993</v>
      </c>
      <c r="D11" s="356">
        <v>1610183.2</v>
      </c>
    </row>
    <row r="12" spans="1:4" thickBot="1" x14ac:dyDescent="0.35">
      <c r="A12" s="1"/>
      <c r="B12" s="421"/>
      <c r="C12" s="357"/>
      <c r="D12" s="357"/>
    </row>
    <row r="13" spans="1:4" ht="15.75" thickBot="1" x14ac:dyDescent="0.3">
      <c r="A13" s="315" t="s">
        <v>1</v>
      </c>
      <c r="B13" s="358"/>
      <c r="C13" s="422"/>
      <c r="D13" s="154"/>
    </row>
    <row r="14" spans="1:4" x14ac:dyDescent="0.25">
      <c r="A14" s="159" t="s">
        <v>200</v>
      </c>
      <c r="B14" s="362"/>
      <c r="C14" s="361"/>
      <c r="D14" s="360">
        <v>0</v>
      </c>
    </row>
    <row r="15" spans="1:4" x14ac:dyDescent="0.25">
      <c r="A15" s="162" t="s">
        <v>134</v>
      </c>
      <c r="B15" s="423">
        <v>110000</v>
      </c>
      <c r="C15" s="363">
        <v>123230.26</v>
      </c>
      <c r="D15" s="362">
        <v>260000</v>
      </c>
    </row>
    <row r="16" spans="1:4" thickBot="1" x14ac:dyDescent="0.35">
      <c r="A16" s="162"/>
      <c r="B16" s="423"/>
      <c r="C16" s="363"/>
      <c r="D16" s="424">
        <v>0</v>
      </c>
    </row>
    <row r="17" spans="1:4" thickBot="1" x14ac:dyDescent="0.35">
      <c r="A17" s="165" t="s">
        <v>130</v>
      </c>
      <c r="B17" s="365">
        <v>110000</v>
      </c>
      <c r="C17" s="366">
        <v>123230.26</v>
      </c>
      <c r="D17" s="425">
        <v>260000</v>
      </c>
    </row>
    <row r="18" spans="1:4" thickBot="1" x14ac:dyDescent="0.35">
      <c r="A18" s="1"/>
      <c r="B18" s="421"/>
      <c r="C18" s="357"/>
      <c r="D18" s="357"/>
    </row>
    <row r="19" spans="1:4" ht="15.75" thickBot="1" x14ac:dyDescent="0.3">
      <c r="A19" s="316" t="s">
        <v>2</v>
      </c>
      <c r="B19" s="426"/>
      <c r="C19" s="427"/>
      <c r="D19" s="284"/>
    </row>
    <row r="20" spans="1:4" ht="15.75" thickBot="1" x14ac:dyDescent="0.3">
      <c r="A20" s="171" t="s">
        <v>135</v>
      </c>
      <c r="B20" s="369">
        <v>4000</v>
      </c>
      <c r="C20" s="370">
        <v>1346</v>
      </c>
      <c r="D20" s="428">
        <v>4000</v>
      </c>
    </row>
    <row r="21" spans="1:4" thickBot="1" x14ac:dyDescent="0.35">
      <c r="A21" s="174" t="s">
        <v>130</v>
      </c>
      <c r="B21" s="371">
        <v>4000</v>
      </c>
      <c r="C21" s="372">
        <v>1346</v>
      </c>
      <c r="D21" s="372">
        <v>4000</v>
      </c>
    </row>
    <row r="22" spans="1:4" thickBot="1" x14ac:dyDescent="0.35">
      <c r="A22" s="1"/>
      <c r="B22" s="421"/>
      <c r="C22" s="357"/>
      <c r="D22" s="357"/>
    </row>
    <row r="23" spans="1:4" ht="15.75" thickBot="1" x14ac:dyDescent="0.3">
      <c r="A23" s="317" t="s">
        <v>136</v>
      </c>
      <c r="B23" s="373"/>
      <c r="C23" s="429"/>
      <c r="D23" s="415"/>
    </row>
    <row r="24" spans="1:4" ht="15.75" thickBot="1" x14ac:dyDescent="0.3">
      <c r="A24" s="179" t="s">
        <v>137</v>
      </c>
      <c r="B24" s="376">
        <v>40000</v>
      </c>
      <c r="C24" s="377">
        <v>77208.02</v>
      </c>
      <c r="D24" s="430">
        <v>80000</v>
      </c>
    </row>
    <row r="25" spans="1:4" thickBot="1" x14ac:dyDescent="0.35">
      <c r="A25" s="182" t="s">
        <v>130</v>
      </c>
      <c r="B25" s="378">
        <v>40000</v>
      </c>
      <c r="C25" s="379">
        <v>77208.02</v>
      </c>
      <c r="D25" s="379">
        <v>80000</v>
      </c>
    </row>
    <row r="26" spans="1:4" thickBot="1" x14ac:dyDescent="0.35">
      <c r="A26" s="1"/>
      <c r="B26" s="421"/>
      <c r="C26" s="357"/>
      <c r="D26" s="357"/>
    </row>
    <row r="27" spans="1:4" thickBot="1" x14ac:dyDescent="0.35">
      <c r="A27" s="319" t="s">
        <v>3</v>
      </c>
      <c r="B27" s="431"/>
      <c r="C27" s="432"/>
      <c r="D27" s="416"/>
    </row>
    <row r="28" spans="1:4" x14ac:dyDescent="0.25">
      <c r="A28" s="382" t="s">
        <v>201</v>
      </c>
      <c r="B28" s="385">
        <v>0</v>
      </c>
      <c r="C28" s="433">
        <v>0</v>
      </c>
      <c r="D28" s="385">
        <v>0</v>
      </c>
    </row>
    <row r="29" spans="1:4" ht="14.45" x14ac:dyDescent="0.3">
      <c r="A29" s="386" t="s">
        <v>202</v>
      </c>
      <c r="B29" s="388">
        <v>0</v>
      </c>
      <c r="C29" s="434">
        <v>0</v>
      </c>
      <c r="D29" s="388">
        <v>0</v>
      </c>
    </row>
    <row r="30" spans="1:4" thickBot="1" x14ac:dyDescent="0.35">
      <c r="A30" s="389" t="s">
        <v>203</v>
      </c>
      <c r="B30" s="391">
        <v>0</v>
      </c>
      <c r="C30" s="435">
        <v>0</v>
      </c>
      <c r="D30" s="391">
        <v>0</v>
      </c>
    </row>
    <row r="31" spans="1:4" thickBot="1" x14ac:dyDescent="0.35">
      <c r="A31" s="279" t="s">
        <v>130</v>
      </c>
      <c r="B31" s="393">
        <v>0</v>
      </c>
      <c r="C31" s="436">
        <v>0</v>
      </c>
      <c r="D31" s="393">
        <v>0</v>
      </c>
    </row>
    <row r="32" spans="1:4" thickBot="1" x14ac:dyDescent="0.35">
      <c r="A32" s="1"/>
      <c r="B32" s="421"/>
      <c r="C32" s="357"/>
      <c r="D32" s="357"/>
    </row>
    <row r="33" spans="1:4" ht="15.75" thickBot="1" x14ac:dyDescent="0.3">
      <c r="A33" s="321" t="s">
        <v>5</v>
      </c>
      <c r="B33" s="394"/>
      <c r="C33" s="437"/>
      <c r="D33" s="417"/>
    </row>
    <row r="34" spans="1:4" x14ac:dyDescent="0.25">
      <c r="A34" s="195" t="s">
        <v>204</v>
      </c>
      <c r="B34" s="397">
        <v>133500</v>
      </c>
      <c r="C34" s="398">
        <v>105022.76</v>
      </c>
      <c r="D34" s="397">
        <v>118000</v>
      </c>
    </row>
    <row r="35" spans="1:4" ht="15.75" thickBot="1" x14ac:dyDescent="0.3">
      <c r="A35" s="217" t="s">
        <v>153</v>
      </c>
      <c r="B35" s="399"/>
      <c r="C35" s="400"/>
      <c r="D35" s="399">
        <v>0</v>
      </c>
    </row>
    <row r="36" spans="1:4" thickBot="1" x14ac:dyDescent="0.35">
      <c r="A36" s="242" t="s">
        <v>130</v>
      </c>
      <c r="B36" s="401">
        <v>133500</v>
      </c>
      <c r="C36" s="402">
        <v>105022.76</v>
      </c>
      <c r="D36" s="401">
        <v>118000</v>
      </c>
    </row>
    <row r="37" spans="1:4" thickBot="1" x14ac:dyDescent="0.35">
      <c r="A37" s="1"/>
      <c r="B37" s="421"/>
      <c r="C37" s="357"/>
      <c r="D37" s="357"/>
    </row>
    <row r="38" spans="1:4" thickBot="1" x14ac:dyDescent="0.35">
      <c r="A38" s="322" t="s">
        <v>13</v>
      </c>
      <c r="B38" s="403"/>
      <c r="C38" s="438"/>
      <c r="D38" s="418"/>
    </row>
    <row r="39" spans="1:4" thickBot="1" x14ac:dyDescent="0.35">
      <c r="A39" s="323"/>
      <c r="B39" s="406"/>
      <c r="C39" s="407"/>
      <c r="D39" s="406">
        <v>0</v>
      </c>
    </row>
    <row r="40" spans="1:4" thickBot="1" x14ac:dyDescent="0.35">
      <c r="A40" s="324" t="s">
        <v>130</v>
      </c>
      <c r="B40" s="408">
        <v>30222</v>
      </c>
      <c r="C40" s="409">
        <v>51790</v>
      </c>
      <c r="D40" s="410">
        <v>82000</v>
      </c>
    </row>
    <row r="41" spans="1:4" thickBot="1" x14ac:dyDescent="0.35">
      <c r="A41" s="1"/>
      <c r="B41" s="357"/>
      <c r="C41" s="357"/>
      <c r="D41" s="357"/>
    </row>
    <row r="42" spans="1:4" ht="18.600000000000001" thickBot="1" x14ac:dyDescent="0.4">
      <c r="A42" s="206" t="s">
        <v>10</v>
      </c>
      <c r="B42" s="411">
        <v>1377722</v>
      </c>
      <c r="C42" s="411">
        <v>1225398.72</v>
      </c>
      <c r="D42" s="411">
        <v>2154183.2000000002</v>
      </c>
    </row>
    <row r="43" spans="1:4" ht="14.45" x14ac:dyDescent="0.3">
      <c r="A43" s="1"/>
      <c r="B43" s="314"/>
      <c r="C43" s="314"/>
      <c r="D43" s="314"/>
    </row>
    <row r="44" spans="1:4" ht="81" customHeight="1" x14ac:dyDescent="0.25">
      <c r="A44" s="576" t="s">
        <v>233</v>
      </c>
      <c r="B44" s="576"/>
      <c r="C44" s="576"/>
      <c r="D44" s="576"/>
    </row>
    <row r="45" spans="1:4" x14ac:dyDescent="0.25">
      <c r="A45" s="18" t="s">
        <v>234</v>
      </c>
      <c r="B45" s="329"/>
      <c r="C45" s="329"/>
      <c r="D45" s="329"/>
    </row>
    <row r="46" spans="1:4" ht="14.45" customHeight="1" x14ac:dyDescent="0.25">
      <c r="A46" s="582" t="s">
        <v>279</v>
      </c>
      <c r="B46" s="582"/>
      <c r="C46" s="582"/>
      <c r="D46" s="582"/>
    </row>
    <row r="47" spans="1:4" x14ac:dyDescent="0.25">
      <c r="A47" s="582"/>
      <c r="B47" s="582"/>
      <c r="C47" s="582"/>
      <c r="D47" s="582"/>
    </row>
    <row r="48" spans="1:4" ht="4.1500000000000004" customHeight="1" x14ac:dyDescent="0.25">
      <c r="A48" s="582"/>
      <c r="B48" s="582"/>
      <c r="C48" s="582"/>
      <c r="D48" s="582"/>
    </row>
    <row r="49" spans="1:4" ht="14.45" hidden="1" x14ac:dyDescent="0.3">
      <c r="A49" s="582"/>
      <c r="B49" s="582"/>
      <c r="C49" s="582"/>
      <c r="D49" s="582"/>
    </row>
    <row r="50" spans="1:4" ht="31.9" hidden="1" customHeight="1" x14ac:dyDescent="0.3">
      <c r="A50" s="582"/>
      <c r="B50" s="582"/>
      <c r="C50" s="582"/>
      <c r="D50" s="582"/>
    </row>
  </sheetData>
  <mergeCells count="2">
    <mergeCell ref="A44:D44"/>
    <mergeCell ref="A46:D50"/>
  </mergeCells>
  <pageMargins left="0.7" right="0.7" top="0.78740157499999996" bottom="0.78740157499999996" header="0.3" footer="0.3"/>
  <pageSetup paperSize="9" scale="81" orientation="portrait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22" workbookViewId="0">
      <selection activeCell="H22" sqref="H22"/>
    </sheetView>
  </sheetViews>
  <sheetFormatPr defaultRowHeight="15" x14ac:dyDescent="0.25"/>
  <cols>
    <col min="1" max="1" width="37.7109375" bestFit="1" customWidth="1"/>
    <col min="2" max="2" width="19.42578125" customWidth="1"/>
    <col min="3" max="3" width="24" customWidth="1"/>
    <col min="4" max="4" width="18.42578125" customWidth="1"/>
  </cols>
  <sheetData>
    <row r="1" spans="1:6" ht="24" thickBot="1" x14ac:dyDescent="0.4">
      <c r="A1" s="126" t="s">
        <v>182</v>
      </c>
      <c r="B1" s="127"/>
      <c r="C1" s="127"/>
    </row>
    <row r="2" spans="1:6" ht="19.5" thickBot="1" x14ac:dyDescent="0.35">
      <c r="A2" s="212" t="s">
        <v>187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188</v>
      </c>
    </row>
    <row r="4" spans="1:6" ht="14.45" x14ac:dyDescent="0.3">
      <c r="A4" s="134" t="s">
        <v>122</v>
      </c>
      <c r="B4" s="136">
        <v>442920</v>
      </c>
      <c r="C4" s="136">
        <v>456269</v>
      </c>
      <c r="D4" s="137">
        <v>526000</v>
      </c>
    </row>
    <row r="5" spans="1:6" x14ac:dyDescent="0.25">
      <c r="A5" s="138" t="s">
        <v>123</v>
      </c>
      <c r="B5" s="140">
        <v>15000</v>
      </c>
      <c r="C5" s="140">
        <v>57400</v>
      </c>
      <c r="D5" s="141">
        <v>51000</v>
      </c>
    </row>
    <row r="6" spans="1:6" x14ac:dyDescent="0.25">
      <c r="A6" s="138" t="s">
        <v>124</v>
      </c>
      <c r="B6" s="140">
        <v>164485</v>
      </c>
      <c r="C6" s="140">
        <v>186922.9</v>
      </c>
      <c r="D6" s="141">
        <v>210143</v>
      </c>
      <c r="F6" s="50"/>
    </row>
    <row r="7" spans="1:6" x14ac:dyDescent="0.25">
      <c r="A7" s="138" t="s">
        <v>125</v>
      </c>
      <c r="B7" s="140">
        <v>20000</v>
      </c>
      <c r="C7" s="140">
        <v>20790</v>
      </c>
      <c r="D7" s="142">
        <v>0</v>
      </c>
    </row>
    <row r="8" spans="1:6" x14ac:dyDescent="0.25">
      <c r="A8" s="138" t="s">
        <v>149</v>
      </c>
      <c r="B8" s="140">
        <v>6884</v>
      </c>
      <c r="C8" s="140"/>
      <c r="D8" s="142">
        <v>0</v>
      </c>
    </row>
    <row r="9" spans="1:6" ht="14.45" x14ac:dyDescent="0.3">
      <c r="A9" s="138" t="s">
        <v>127</v>
      </c>
      <c r="B9" s="139">
        <v>0</v>
      </c>
      <c r="C9" s="139">
        <v>0</v>
      </c>
      <c r="D9" s="141">
        <v>20000</v>
      </c>
    </row>
    <row r="10" spans="1:6" x14ac:dyDescent="0.25">
      <c r="A10" s="138" t="s">
        <v>128</v>
      </c>
      <c r="B10" s="140">
        <v>23000</v>
      </c>
      <c r="C10" s="140">
        <v>20608</v>
      </c>
      <c r="D10" s="141">
        <v>21412</v>
      </c>
    </row>
    <row r="11" spans="1:6" x14ac:dyDescent="0.25">
      <c r="A11" s="138" t="s">
        <v>129</v>
      </c>
      <c r="B11" s="139">
        <v>400</v>
      </c>
      <c r="C11" s="139">
        <v>1335</v>
      </c>
      <c r="D11" s="141">
        <v>300</v>
      </c>
    </row>
    <row r="12" spans="1:6" thickBot="1" x14ac:dyDescent="0.35">
      <c r="A12" s="143"/>
      <c r="B12" s="144"/>
      <c r="C12" s="144"/>
      <c r="D12" s="146"/>
    </row>
    <row r="13" spans="1:6" thickBot="1" x14ac:dyDescent="0.35">
      <c r="A13" s="148" t="s">
        <v>130</v>
      </c>
      <c r="B13" s="149">
        <f>SUM(B4:B12)</f>
        <v>672689</v>
      </c>
      <c r="C13" s="149">
        <f>SUM(C4:C12)</f>
        <v>743324.9</v>
      </c>
      <c r="D13" s="149">
        <f>SUM(D4:D12)</f>
        <v>828855</v>
      </c>
    </row>
    <row r="14" spans="1:6" thickBot="1" x14ac:dyDescent="0.35">
      <c r="A14" s="150"/>
      <c r="B14" s="151"/>
      <c r="C14" s="151"/>
      <c r="D14" s="152"/>
    </row>
    <row r="15" spans="1:6" ht="15.75" thickBot="1" x14ac:dyDescent="0.3">
      <c r="A15" s="153" t="s">
        <v>1</v>
      </c>
      <c r="B15" s="154"/>
      <c r="C15" s="154"/>
      <c r="D15" s="155"/>
    </row>
    <row r="16" spans="1:6" x14ac:dyDescent="0.25">
      <c r="A16" s="156" t="s">
        <v>131</v>
      </c>
      <c r="B16" s="157">
        <v>1000</v>
      </c>
      <c r="C16" s="157">
        <v>952</v>
      </c>
      <c r="D16" s="158">
        <v>1500</v>
      </c>
    </row>
    <row r="17" spans="1:5" x14ac:dyDescent="0.25">
      <c r="A17" s="159" t="s">
        <v>132</v>
      </c>
      <c r="B17" s="160">
        <v>3500</v>
      </c>
      <c r="C17" s="160">
        <v>0</v>
      </c>
      <c r="D17" s="161">
        <v>0</v>
      </c>
    </row>
    <row r="18" spans="1:5" ht="14.45" x14ac:dyDescent="0.3">
      <c r="A18" s="159" t="s">
        <v>133</v>
      </c>
      <c r="B18" s="160">
        <v>3000</v>
      </c>
      <c r="C18" s="160">
        <v>0</v>
      </c>
      <c r="D18" s="161">
        <v>10000</v>
      </c>
      <c r="E18" t="s">
        <v>43</v>
      </c>
    </row>
    <row r="19" spans="1:5" x14ac:dyDescent="0.25">
      <c r="A19" s="162" t="s">
        <v>134</v>
      </c>
      <c r="B19" s="163">
        <v>15000</v>
      </c>
      <c r="C19" s="163">
        <v>24321.45</v>
      </c>
      <c r="D19" s="213">
        <v>23100</v>
      </c>
      <c r="E19" t="s">
        <v>189</v>
      </c>
    </row>
    <row r="20" spans="1:5" thickBot="1" x14ac:dyDescent="0.35">
      <c r="A20" s="162"/>
      <c r="B20" s="163"/>
      <c r="C20" s="163"/>
      <c r="D20" s="164"/>
    </row>
    <row r="21" spans="1:5" thickBot="1" x14ac:dyDescent="0.35">
      <c r="A21" s="165" t="s">
        <v>130</v>
      </c>
      <c r="B21" s="166">
        <f>B16+B17+B18+B19</f>
        <v>22500</v>
      </c>
      <c r="C21" s="166">
        <f>SUM(C16:C20)</f>
        <v>25273.45</v>
      </c>
      <c r="D21" s="214">
        <f>SUM(D16:D20)</f>
        <v>34600</v>
      </c>
    </row>
    <row r="22" spans="1:5" thickBot="1" x14ac:dyDescent="0.35">
      <c r="A22" s="150"/>
      <c r="B22" s="167"/>
      <c r="C22" s="167"/>
      <c r="D22" s="34"/>
    </row>
    <row r="23" spans="1:5" ht="15.75" thickBot="1" x14ac:dyDescent="0.3">
      <c r="A23" s="168" t="s">
        <v>2</v>
      </c>
      <c r="B23" s="169"/>
      <c r="C23" s="169"/>
      <c r="D23" s="170"/>
    </row>
    <row r="24" spans="1:5" ht="15.75" thickBot="1" x14ac:dyDescent="0.3">
      <c r="A24" s="171" t="s">
        <v>135</v>
      </c>
      <c r="B24" s="172">
        <v>6000</v>
      </c>
      <c r="C24" s="172">
        <v>7071</v>
      </c>
      <c r="D24" s="173">
        <v>7000</v>
      </c>
    </row>
    <row r="25" spans="1:5" thickBot="1" x14ac:dyDescent="0.35">
      <c r="A25" s="174" t="s">
        <v>130</v>
      </c>
      <c r="B25" s="175">
        <f>SUM(B24)</f>
        <v>6000</v>
      </c>
      <c r="C25" s="175">
        <f>SUM(C24)</f>
        <v>7071</v>
      </c>
      <c r="D25" s="215">
        <f>SUM(D24)</f>
        <v>7000</v>
      </c>
    </row>
    <row r="26" spans="1:5" ht="14.45" x14ac:dyDescent="0.3">
      <c r="A26" s="150"/>
      <c r="B26" s="167"/>
      <c r="C26" s="167"/>
      <c r="D26" s="34"/>
    </row>
    <row r="27" spans="1:5" thickBot="1" x14ac:dyDescent="0.35">
      <c r="A27" s="150"/>
      <c r="B27" s="167"/>
      <c r="C27" s="167"/>
      <c r="D27" s="34"/>
    </row>
    <row r="28" spans="1:5" ht="15.75" thickBot="1" x14ac:dyDescent="0.3">
      <c r="A28" s="176" t="s">
        <v>136</v>
      </c>
      <c r="B28" s="177"/>
      <c r="C28" s="177"/>
      <c r="D28" s="178"/>
    </row>
    <row r="29" spans="1:5" ht="15.75" thickBot="1" x14ac:dyDescent="0.3">
      <c r="A29" s="179" t="s">
        <v>137</v>
      </c>
      <c r="B29" s="180">
        <v>34000</v>
      </c>
      <c r="C29" s="180">
        <v>0</v>
      </c>
      <c r="D29" s="181">
        <v>21000</v>
      </c>
    </row>
    <row r="30" spans="1:5" thickBot="1" x14ac:dyDescent="0.35">
      <c r="A30" s="182" t="s">
        <v>130</v>
      </c>
      <c r="B30" s="183">
        <f>SUM(B29)</f>
        <v>34000</v>
      </c>
      <c r="C30" s="183">
        <f>SUM(C29)</f>
        <v>0</v>
      </c>
      <c r="D30" s="216">
        <f>SUM(D29)</f>
        <v>21000</v>
      </c>
    </row>
    <row r="31" spans="1:5" thickBot="1" x14ac:dyDescent="0.35">
      <c r="A31" s="150"/>
      <c r="B31" s="167"/>
      <c r="C31" s="167"/>
      <c r="D31" s="34"/>
    </row>
    <row r="32" spans="1:5" thickBot="1" x14ac:dyDescent="0.35">
      <c r="A32" s="235" t="s">
        <v>3</v>
      </c>
      <c r="B32" s="305">
        <v>63668</v>
      </c>
      <c r="C32" s="305">
        <v>59834</v>
      </c>
      <c r="D32" s="287">
        <v>60000</v>
      </c>
    </row>
    <row r="33" spans="1:4" thickBot="1" x14ac:dyDescent="0.35">
      <c r="A33" s="237" t="s">
        <v>130</v>
      </c>
      <c r="B33" s="238">
        <f>SUM(B32)</f>
        <v>63668</v>
      </c>
      <c r="C33" s="238">
        <f>SUM(C32)</f>
        <v>59834</v>
      </c>
      <c r="D33" s="288">
        <f>SUM(D32)</f>
        <v>60000</v>
      </c>
    </row>
    <row r="34" spans="1:4" thickBot="1" x14ac:dyDescent="0.35">
      <c r="A34" s="150"/>
      <c r="B34" s="167"/>
      <c r="C34" s="167"/>
      <c r="D34" s="191"/>
    </row>
    <row r="35" spans="1:4" ht="15.75" thickBot="1" x14ac:dyDescent="0.3">
      <c r="A35" s="192" t="s">
        <v>5</v>
      </c>
      <c r="B35" s="193"/>
      <c r="C35" s="193"/>
      <c r="D35" s="194"/>
    </row>
    <row r="36" spans="1:4" ht="14.45" x14ac:dyDescent="0.3">
      <c r="A36" s="195" t="s">
        <v>138</v>
      </c>
      <c r="B36" s="196">
        <v>9100</v>
      </c>
      <c r="C36" s="196">
        <v>3016</v>
      </c>
      <c r="D36" s="197">
        <v>4000</v>
      </c>
    </row>
    <row r="37" spans="1:4" x14ac:dyDescent="0.25">
      <c r="A37" s="198" t="s">
        <v>139</v>
      </c>
      <c r="B37" s="199">
        <v>1917</v>
      </c>
      <c r="C37" s="199">
        <v>2733</v>
      </c>
      <c r="D37" s="200">
        <v>3000</v>
      </c>
    </row>
    <row r="38" spans="1:4" ht="14.45" x14ac:dyDescent="0.3">
      <c r="A38" s="198" t="s">
        <v>140</v>
      </c>
      <c r="B38" s="199">
        <v>8744</v>
      </c>
      <c r="C38" s="199">
        <v>8656</v>
      </c>
      <c r="D38" s="200">
        <v>9000</v>
      </c>
    </row>
    <row r="39" spans="1:4" ht="14.45" x14ac:dyDescent="0.3">
      <c r="A39" s="198" t="s">
        <v>141</v>
      </c>
      <c r="B39" s="199">
        <v>1272</v>
      </c>
      <c r="C39" s="199">
        <v>1295</v>
      </c>
      <c r="D39" s="200">
        <v>1500</v>
      </c>
    </row>
    <row r="40" spans="1:4" x14ac:dyDescent="0.25">
      <c r="A40" s="198" t="s">
        <v>142</v>
      </c>
      <c r="B40" s="199">
        <v>260</v>
      </c>
      <c r="C40" s="199"/>
      <c r="D40" s="201">
        <v>600</v>
      </c>
    </row>
    <row r="41" spans="1:4" ht="14.45" x14ac:dyDescent="0.3">
      <c r="A41" s="198" t="s">
        <v>190</v>
      </c>
      <c r="B41" s="199">
        <v>2000</v>
      </c>
      <c r="C41" s="199">
        <v>5000</v>
      </c>
      <c r="D41" s="201">
        <v>2000</v>
      </c>
    </row>
    <row r="42" spans="1:4" x14ac:dyDescent="0.25">
      <c r="A42" s="217" t="s">
        <v>191</v>
      </c>
      <c r="B42" s="218"/>
      <c r="C42" s="218">
        <v>-191.32</v>
      </c>
      <c r="D42" s="219"/>
    </row>
    <row r="43" spans="1:4" thickBot="1" x14ac:dyDescent="0.35">
      <c r="A43" s="202" t="s">
        <v>130</v>
      </c>
      <c r="B43" s="203">
        <v>21206</v>
      </c>
      <c r="C43" s="203">
        <f>SUM(C36:C42)</f>
        <v>20508.68</v>
      </c>
      <c r="D43" s="291">
        <f>SUM(D36:D41)</f>
        <v>20100</v>
      </c>
    </row>
    <row r="44" spans="1:4" thickBot="1" x14ac:dyDescent="0.35">
      <c r="A44" s="14"/>
      <c r="B44" s="204"/>
      <c r="C44" s="204"/>
      <c r="D44" s="205"/>
    </row>
    <row r="45" spans="1:4" ht="19.5" thickBot="1" x14ac:dyDescent="0.35">
      <c r="A45" s="206" t="s">
        <v>10</v>
      </c>
      <c r="B45" s="207">
        <f>B13+B21+B25+B30+B33+B43</f>
        <v>820063</v>
      </c>
      <c r="C45" s="207">
        <f>C13+C21+C25+C30+C33+C43</f>
        <v>856012.03</v>
      </c>
      <c r="D45" s="208">
        <f>D43+D33+D30+D25+D21+D13</f>
        <v>971555</v>
      </c>
    </row>
    <row r="46" spans="1:4" x14ac:dyDescent="0.25">
      <c r="A46" s="18"/>
      <c r="B46" s="18"/>
      <c r="C46" s="18"/>
      <c r="D46" s="18"/>
    </row>
    <row r="47" spans="1:4" ht="33" customHeight="1" x14ac:dyDescent="0.25">
      <c r="A47" s="581" t="s">
        <v>192</v>
      </c>
      <c r="B47" s="581"/>
      <c r="C47" s="581"/>
      <c r="D47" s="581"/>
    </row>
    <row r="49" spans="1:11" ht="4.1500000000000004" customHeight="1" x14ac:dyDescent="0.25">
      <c r="A49" s="18"/>
      <c r="B49" s="18"/>
      <c r="C49" s="18"/>
      <c r="D49" s="18"/>
    </row>
    <row r="50" spans="1:11" ht="23.45" customHeight="1" x14ac:dyDescent="0.25">
      <c r="A50" s="582" t="s">
        <v>193</v>
      </c>
      <c r="B50" s="582"/>
      <c r="C50" s="582"/>
      <c r="D50" s="582"/>
      <c r="E50" s="306"/>
      <c r="F50" s="306"/>
      <c r="G50" s="306"/>
      <c r="H50" s="306"/>
      <c r="I50" s="306"/>
      <c r="J50" s="306"/>
      <c r="K50" s="306"/>
    </row>
    <row r="51" spans="1:11" x14ac:dyDescent="0.25">
      <c r="A51" s="18"/>
      <c r="B51" s="18"/>
      <c r="C51" s="18"/>
      <c r="D51" s="18"/>
    </row>
  </sheetData>
  <mergeCells count="2">
    <mergeCell ref="A47:D47"/>
    <mergeCell ref="A50:D50"/>
  </mergeCells>
  <pageMargins left="0.7" right="0.7" top="0.78740157499999996" bottom="0.78740157499999996" header="0.3" footer="0.3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="85" zoomScaleNormal="85" workbookViewId="0">
      <selection activeCell="C57" sqref="C57"/>
    </sheetView>
  </sheetViews>
  <sheetFormatPr defaultRowHeight="15" outlineLevelCol="1" x14ac:dyDescent="0.25"/>
  <cols>
    <col min="1" max="1" width="44.28515625" customWidth="1"/>
    <col min="2" max="2" width="16.42578125" style="330" customWidth="1" outlineLevel="1"/>
    <col min="3" max="3" width="17" style="330" customWidth="1" outlineLevel="1"/>
    <col min="4" max="4" width="15.85546875" style="330" customWidth="1" outlineLevel="1"/>
  </cols>
  <sheetData>
    <row r="1" spans="1:4" ht="24" thickBot="1" x14ac:dyDescent="0.4">
      <c r="A1" s="337" t="s">
        <v>235</v>
      </c>
      <c r="B1" s="412"/>
      <c r="C1" s="412"/>
      <c r="D1" s="413"/>
    </row>
    <row r="2" spans="1:4" s="344" customFormat="1" ht="78.75" customHeight="1" thickBot="1" x14ac:dyDescent="0.3">
      <c r="A2" s="341" t="s">
        <v>262</v>
      </c>
      <c r="B2" s="342" t="s">
        <v>263</v>
      </c>
      <c r="C2" s="343" t="s">
        <v>264</v>
      </c>
      <c r="D2" s="343" t="s">
        <v>265</v>
      </c>
    </row>
    <row r="3" spans="1:4" ht="15.75" thickBot="1" x14ac:dyDescent="0.3">
      <c r="A3" s="311" t="s">
        <v>120</v>
      </c>
      <c r="B3" s="441"/>
      <c r="C3" s="442"/>
      <c r="D3" s="132" t="s">
        <v>266</v>
      </c>
    </row>
    <row r="4" spans="1:4" ht="14.45" x14ac:dyDescent="0.3">
      <c r="A4" s="134" t="s">
        <v>122</v>
      </c>
      <c r="B4" s="347">
        <v>0</v>
      </c>
      <c r="C4" s="348">
        <v>1179</v>
      </c>
      <c r="D4" s="347">
        <v>84000</v>
      </c>
    </row>
    <row r="5" spans="1:4" x14ac:dyDescent="0.25">
      <c r="A5" s="138" t="s">
        <v>123</v>
      </c>
      <c r="B5" s="350">
        <v>0</v>
      </c>
      <c r="C5" s="351">
        <v>4000</v>
      </c>
      <c r="D5" s="350">
        <v>20000</v>
      </c>
    </row>
    <row r="6" spans="1:4" x14ac:dyDescent="0.25">
      <c r="A6" s="138" t="s">
        <v>124</v>
      </c>
      <c r="B6" s="350">
        <v>0</v>
      </c>
      <c r="C6" s="351">
        <v>1912.2599999999998</v>
      </c>
      <c r="D6" s="350">
        <v>37876.800000000003</v>
      </c>
    </row>
    <row r="7" spans="1:4" x14ac:dyDescent="0.25">
      <c r="A7" s="138" t="s">
        <v>125</v>
      </c>
      <c r="B7" s="350">
        <v>0</v>
      </c>
      <c r="C7" s="351">
        <v>0</v>
      </c>
      <c r="D7" s="350">
        <v>0</v>
      </c>
    </row>
    <row r="8" spans="1:4" x14ac:dyDescent="0.25">
      <c r="A8" s="138" t="s">
        <v>149</v>
      </c>
      <c r="B8" s="350">
        <v>0</v>
      </c>
      <c r="C8" s="351"/>
      <c r="D8" s="350">
        <v>0</v>
      </c>
    </row>
    <row r="9" spans="1:4" ht="14.45" x14ac:dyDescent="0.3">
      <c r="A9" s="138" t="s">
        <v>127</v>
      </c>
      <c r="B9" s="350">
        <v>0</v>
      </c>
      <c r="C9" s="351">
        <v>9520</v>
      </c>
      <c r="D9" s="350">
        <v>18000</v>
      </c>
    </row>
    <row r="10" spans="1:4" ht="15.75" thickBot="1" x14ac:dyDescent="0.3">
      <c r="A10" s="138" t="s">
        <v>128</v>
      </c>
      <c r="B10" s="353">
        <v>0</v>
      </c>
      <c r="C10" s="354">
        <v>0</v>
      </c>
      <c r="D10" s="353">
        <v>11734</v>
      </c>
    </row>
    <row r="11" spans="1:4" thickBot="1" x14ac:dyDescent="0.35">
      <c r="A11" s="148" t="s">
        <v>130</v>
      </c>
      <c r="B11" s="355">
        <v>20000</v>
      </c>
      <c r="C11" s="414">
        <v>16611.260000000002</v>
      </c>
      <c r="D11" s="356">
        <v>171610.8</v>
      </c>
    </row>
    <row r="12" spans="1:4" thickBot="1" x14ac:dyDescent="0.35">
      <c r="A12" s="443"/>
      <c r="B12" s="421"/>
      <c r="C12" s="357"/>
      <c r="D12" s="357"/>
    </row>
    <row r="13" spans="1:4" ht="15.75" thickBot="1" x14ac:dyDescent="0.3">
      <c r="A13" s="315" t="s">
        <v>1</v>
      </c>
      <c r="B13" s="358"/>
      <c r="C13" s="422"/>
      <c r="D13" s="154"/>
    </row>
    <row r="14" spans="1:4" x14ac:dyDescent="0.25">
      <c r="A14" s="159" t="s">
        <v>200</v>
      </c>
      <c r="B14" s="362"/>
      <c r="C14" s="361"/>
      <c r="D14" s="362">
        <v>0</v>
      </c>
    </row>
    <row r="15" spans="1:4" x14ac:dyDescent="0.25">
      <c r="A15" s="162" t="s">
        <v>134</v>
      </c>
      <c r="B15" s="423">
        <v>85000</v>
      </c>
      <c r="C15" s="363">
        <v>54986.95</v>
      </c>
      <c r="D15" s="423">
        <v>50000</v>
      </c>
    </row>
    <row r="16" spans="1:4" thickBot="1" x14ac:dyDescent="0.35">
      <c r="A16" s="162" t="s">
        <v>267</v>
      </c>
      <c r="B16" s="423"/>
      <c r="C16" s="363"/>
      <c r="D16" s="423">
        <v>50000</v>
      </c>
    </row>
    <row r="17" spans="1:4" thickBot="1" x14ac:dyDescent="0.35">
      <c r="A17" s="165" t="s">
        <v>130</v>
      </c>
      <c r="B17" s="365">
        <v>85000</v>
      </c>
      <c r="C17" s="366">
        <v>54986.95</v>
      </c>
      <c r="D17" s="365">
        <f>D15+D16</f>
        <v>100000</v>
      </c>
    </row>
    <row r="18" spans="1:4" thickBot="1" x14ac:dyDescent="0.35">
      <c r="A18" s="443"/>
      <c r="B18" s="421"/>
      <c r="C18" s="357"/>
      <c r="D18" s="357"/>
    </row>
    <row r="19" spans="1:4" ht="15.75" thickBot="1" x14ac:dyDescent="0.3">
      <c r="A19" s="316" t="s">
        <v>2</v>
      </c>
      <c r="B19" s="426"/>
      <c r="C19" s="427"/>
      <c r="D19" s="169"/>
    </row>
    <row r="20" spans="1:4" ht="15.75" thickBot="1" x14ac:dyDescent="0.3">
      <c r="A20" s="171" t="s">
        <v>135</v>
      </c>
      <c r="B20" s="369"/>
      <c r="C20" s="370">
        <v>0</v>
      </c>
      <c r="D20" s="370">
        <v>0</v>
      </c>
    </row>
    <row r="21" spans="1:4" thickBot="1" x14ac:dyDescent="0.35">
      <c r="A21" s="174" t="s">
        <v>130</v>
      </c>
      <c r="B21" s="371">
        <v>0</v>
      </c>
      <c r="C21" s="372">
        <v>0</v>
      </c>
      <c r="D21" s="372">
        <v>0</v>
      </c>
    </row>
    <row r="22" spans="1:4" ht="15.75" thickBot="1" x14ac:dyDescent="0.3">
      <c r="A22" s="443"/>
      <c r="B22" s="421"/>
      <c r="C22" s="357"/>
      <c r="D22" s="357"/>
    </row>
    <row r="23" spans="1:4" ht="15.75" thickBot="1" x14ac:dyDescent="0.3">
      <c r="A23" s="317" t="s">
        <v>136</v>
      </c>
      <c r="B23" s="373"/>
      <c r="C23" s="429"/>
      <c r="D23" s="375"/>
    </row>
    <row r="24" spans="1:4" ht="15.75" thickBot="1" x14ac:dyDescent="0.3">
      <c r="A24" s="179" t="s">
        <v>137</v>
      </c>
      <c r="B24" s="376"/>
      <c r="C24" s="377">
        <v>0</v>
      </c>
      <c r="D24" s="377">
        <v>80000</v>
      </c>
    </row>
    <row r="25" spans="1:4" ht="15.75" thickBot="1" x14ac:dyDescent="0.3">
      <c r="A25" s="182" t="s">
        <v>130</v>
      </c>
      <c r="B25" s="378">
        <v>80000</v>
      </c>
      <c r="C25" s="379">
        <v>0</v>
      </c>
      <c r="D25" s="379">
        <f>D24</f>
        <v>80000</v>
      </c>
    </row>
    <row r="26" spans="1:4" ht="15.75" thickBot="1" x14ac:dyDescent="0.3">
      <c r="A26" s="443"/>
      <c r="B26" s="421"/>
      <c r="C26" s="357"/>
      <c r="D26" s="357"/>
    </row>
    <row r="27" spans="1:4" ht="15.75" thickBot="1" x14ac:dyDescent="0.3">
      <c r="A27" s="319" t="s">
        <v>3</v>
      </c>
      <c r="B27" s="431"/>
      <c r="C27" s="516"/>
      <c r="D27" s="416"/>
    </row>
    <row r="28" spans="1:4" x14ac:dyDescent="0.25">
      <c r="A28" s="382" t="s">
        <v>201</v>
      </c>
      <c r="B28" s="385">
        <v>140000</v>
      </c>
      <c r="C28" s="384">
        <v>136267.85</v>
      </c>
      <c r="D28" s="385">
        <v>140000</v>
      </c>
    </row>
    <row r="29" spans="1:4" x14ac:dyDescent="0.25">
      <c r="A29" s="386" t="s">
        <v>202</v>
      </c>
      <c r="B29" s="388">
        <v>0</v>
      </c>
      <c r="C29" s="388">
        <v>0</v>
      </c>
      <c r="D29" s="388">
        <v>0</v>
      </c>
    </row>
    <row r="30" spans="1:4" ht="15.75" thickBot="1" x14ac:dyDescent="0.3">
      <c r="A30" s="389" t="s">
        <v>203</v>
      </c>
      <c r="B30" s="391">
        <v>0</v>
      </c>
      <c r="C30" s="391">
        <v>15193.11</v>
      </c>
      <c r="D30" s="391">
        <v>15000</v>
      </c>
    </row>
    <row r="31" spans="1:4" ht="15.75" thickBot="1" x14ac:dyDescent="0.3">
      <c r="A31" s="279" t="s">
        <v>130</v>
      </c>
      <c r="B31" s="393">
        <v>140000</v>
      </c>
      <c r="C31" s="393">
        <v>151460.96000000002</v>
      </c>
      <c r="D31" s="393">
        <f>D28+D29+D30</f>
        <v>155000</v>
      </c>
    </row>
    <row r="32" spans="1:4" ht="15.75" thickBot="1" x14ac:dyDescent="0.3">
      <c r="A32" s="443"/>
      <c r="B32" s="421"/>
      <c r="C32" s="357"/>
      <c r="D32" s="357"/>
    </row>
    <row r="33" spans="1:4" ht="15.75" thickBot="1" x14ac:dyDescent="0.3">
      <c r="A33" s="321" t="s">
        <v>5</v>
      </c>
      <c r="B33" s="394"/>
      <c r="C33" s="394"/>
      <c r="D33" s="396"/>
    </row>
    <row r="34" spans="1:4" x14ac:dyDescent="0.25">
      <c r="A34" s="195" t="s">
        <v>268</v>
      </c>
      <c r="B34" s="517"/>
      <c r="C34" s="517"/>
      <c r="D34" s="397">
        <v>15000</v>
      </c>
    </row>
    <row r="35" spans="1:4" x14ac:dyDescent="0.25">
      <c r="A35" s="195" t="s">
        <v>204</v>
      </c>
      <c r="B35" s="397"/>
      <c r="C35" s="397">
        <v>2301.6999999999998</v>
      </c>
      <c r="D35" s="397">
        <v>20000</v>
      </c>
    </row>
    <row r="36" spans="1:4" ht="15.75" thickBot="1" x14ac:dyDescent="0.3">
      <c r="A36" s="217" t="s">
        <v>269</v>
      </c>
      <c r="B36" s="399"/>
      <c r="C36" s="399">
        <v>-26120</v>
      </c>
      <c r="D36" s="399">
        <v>-15000</v>
      </c>
    </row>
    <row r="37" spans="1:4" ht="15.75" thickBot="1" x14ac:dyDescent="0.3">
      <c r="A37" s="242" t="s">
        <v>130</v>
      </c>
      <c r="B37" s="401">
        <v>5000</v>
      </c>
      <c r="C37" s="401">
        <v>-23818.3</v>
      </c>
      <c r="D37" s="401">
        <f>D34+D35+D36</f>
        <v>20000</v>
      </c>
    </row>
    <row r="38" spans="1:4" ht="15.75" thickBot="1" x14ac:dyDescent="0.3">
      <c r="A38" s="443"/>
      <c r="B38" s="421"/>
      <c r="C38" s="357"/>
      <c r="D38" s="357"/>
    </row>
    <row r="39" spans="1:4" ht="15.75" thickBot="1" x14ac:dyDescent="0.3">
      <c r="A39" s="322" t="s">
        <v>13</v>
      </c>
      <c r="B39" s="403"/>
      <c r="C39" s="403"/>
      <c r="D39" s="405"/>
    </row>
    <row r="40" spans="1:4" ht="15.75" thickBot="1" x14ac:dyDescent="0.3">
      <c r="A40" s="323"/>
      <c r="B40" s="406"/>
      <c r="C40" s="406"/>
      <c r="D40" s="406">
        <v>0</v>
      </c>
    </row>
    <row r="41" spans="1:4" ht="15.75" thickBot="1" x14ac:dyDescent="0.3">
      <c r="A41" s="324" t="s">
        <v>130</v>
      </c>
      <c r="B41" s="408">
        <v>0</v>
      </c>
      <c r="C41" s="408">
        <v>0</v>
      </c>
      <c r="D41" s="410">
        <v>0</v>
      </c>
    </row>
    <row r="42" spans="1:4" ht="15.75" thickBot="1" x14ac:dyDescent="0.3">
      <c r="A42" s="443"/>
      <c r="B42" s="421"/>
      <c r="C42" s="357"/>
      <c r="D42" s="518"/>
    </row>
    <row r="43" spans="1:4" ht="19.5" thickBot="1" x14ac:dyDescent="0.35">
      <c r="A43" s="206" t="s">
        <v>10</v>
      </c>
      <c r="B43" s="411">
        <v>330000</v>
      </c>
      <c r="C43" s="448">
        <v>199240.87000000002</v>
      </c>
      <c r="D43" s="411">
        <f>D11+D17+D21+D25+D31+D37+D41</f>
        <v>526610.80000000005</v>
      </c>
    </row>
    <row r="44" spans="1:4" x14ac:dyDescent="0.25">
      <c r="A44" s="1"/>
      <c r="B44" s="314"/>
      <c r="C44" s="314"/>
      <c r="D44" s="314"/>
    </row>
    <row r="45" spans="1:4" x14ac:dyDescent="0.25">
      <c r="A45" s="582" t="s">
        <v>270</v>
      </c>
      <c r="B45" s="582"/>
      <c r="C45" s="582"/>
      <c r="D45" s="582"/>
    </row>
    <row r="46" spans="1:4" x14ac:dyDescent="0.25">
      <c r="A46" s="582"/>
      <c r="B46" s="582"/>
      <c r="C46" s="582"/>
      <c r="D46" s="582"/>
    </row>
    <row r="47" spans="1:4" ht="27.6" customHeight="1" x14ac:dyDescent="0.25">
      <c r="A47" s="582"/>
      <c r="B47" s="582"/>
      <c r="C47" s="582"/>
      <c r="D47" s="582"/>
    </row>
    <row r="48" spans="1:4" ht="3" customHeight="1" x14ac:dyDescent="0.25">
      <c r="A48" s="582"/>
      <c r="B48" s="582"/>
      <c r="C48" s="582"/>
      <c r="D48" s="582"/>
    </row>
    <row r="49" spans="1:4" ht="3" customHeight="1" x14ac:dyDescent="0.25"/>
    <row r="50" spans="1:4" ht="28.9" customHeight="1" x14ac:dyDescent="0.25">
      <c r="A50" s="582" t="s">
        <v>271</v>
      </c>
      <c r="B50" s="582"/>
      <c r="C50" s="582"/>
      <c r="D50" s="582"/>
    </row>
    <row r="51" spans="1:4" x14ac:dyDescent="0.25">
      <c r="A51" s="582" t="s">
        <v>272</v>
      </c>
      <c r="B51" s="582"/>
      <c r="C51" s="582"/>
      <c r="D51" s="582"/>
    </row>
    <row r="52" spans="1:4" ht="30.75" customHeight="1" x14ac:dyDescent="0.25">
      <c r="A52" s="582" t="s">
        <v>273</v>
      </c>
      <c r="B52" s="582"/>
      <c r="C52" s="582"/>
      <c r="D52" s="582"/>
    </row>
    <row r="53" spans="1:4" x14ac:dyDescent="0.25">
      <c r="A53" s="519"/>
      <c r="B53" s="519"/>
      <c r="C53" s="519"/>
      <c r="D53" s="519"/>
    </row>
    <row r="54" spans="1:4" ht="139.15" customHeight="1" x14ac:dyDescent="0.25">
      <c r="A54" s="574" t="s">
        <v>274</v>
      </c>
      <c r="B54" s="574"/>
      <c r="C54" s="574"/>
      <c r="D54" s="574"/>
    </row>
  </sheetData>
  <mergeCells count="5">
    <mergeCell ref="A45:D48"/>
    <mergeCell ref="A50:D50"/>
    <mergeCell ref="A51:D51"/>
    <mergeCell ref="A52:D52"/>
    <mergeCell ref="A54:D54"/>
  </mergeCells>
  <pageMargins left="0.7" right="0.7" top="0.78740157499999996" bottom="0.78740157499999996" header="0.3" footer="0.3"/>
  <pageSetup paperSize="9" scale="82" orientation="portrait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19" workbookViewId="0">
      <selection activeCell="B54" sqref="B54"/>
    </sheetView>
  </sheetViews>
  <sheetFormatPr defaultRowHeight="15" x14ac:dyDescent="0.25"/>
  <cols>
    <col min="1" max="1" width="37.7109375" bestFit="1" customWidth="1"/>
    <col min="2" max="2" width="21.140625" bestFit="1" customWidth="1"/>
    <col min="3" max="3" width="24" customWidth="1"/>
    <col min="4" max="4" width="22.7109375" bestFit="1" customWidth="1"/>
  </cols>
  <sheetData>
    <row r="1" spans="1:6" ht="24" thickBot="1" x14ac:dyDescent="0.4">
      <c r="A1" s="126" t="s">
        <v>295</v>
      </c>
      <c r="B1" s="127"/>
      <c r="C1" s="127"/>
    </row>
    <row r="2" spans="1:6" ht="19.5" thickBot="1" x14ac:dyDescent="0.35">
      <c r="A2" s="212" t="s">
        <v>296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297</v>
      </c>
    </row>
    <row r="4" spans="1:6" ht="14.45" x14ac:dyDescent="0.3">
      <c r="A4" s="134" t="s">
        <v>122</v>
      </c>
      <c r="B4" s="140">
        <v>1945820</v>
      </c>
      <c r="C4" s="136">
        <v>2049711</v>
      </c>
      <c r="D4" s="137">
        <f>'[2]podrobná tabulka'!O13</f>
        <v>2321121.54</v>
      </c>
    </row>
    <row r="5" spans="1:6" x14ac:dyDescent="0.25">
      <c r="A5" s="138" t="s">
        <v>123</v>
      </c>
      <c r="B5" s="140">
        <v>175300</v>
      </c>
      <c r="C5" s="140">
        <v>142200</v>
      </c>
      <c r="D5" s="141">
        <f>'[2]podrobná tabulka'!O23</f>
        <v>140000</v>
      </c>
    </row>
    <row r="6" spans="1:6" x14ac:dyDescent="0.25">
      <c r="A6" s="138" t="s">
        <v>124</v>
      </c>
      <c r="B6" s="140">
        <f>((B4+B5)*1.3592)-(B4+B5)</f>
        <v>761906.304</v>
      </c>
      <c r="C6" s="140">
        <v>818098.58000000019</v>
      </c>
      <c r="D6" s="141">
        <f>'[2]podrobná tabulka'!O24</f>
        <v>896456.58566799993</v>
      </c>
      <c r="F6" s="50"/>
    </row>
    <row r="7" spans="1:6" x14ac:dyDescent="0.25">
      <c r="A7" s="138" t="s">
        <v>125</v>
      </c>
      <c r="B7" s="140">
        <v>80000</v>
      </c>
      <c r="C7" s="140">
        <v>103315</v>
      </c>
      <c r="D7" s="141">
        <f>'[2]podrobná tabulka'!O28</f>
        <v>150000</v>
      </c>
    </row>
    <row r="8" spans="1:6" x14ac:dyDescent="0.25">
      <c r="A8" s="138" t="s">
        <v>149</v>
      </c>
      <c r="B8" s="140">
        <f>(B7*1.3442)-B7</f>
        <v>27536</v>
      </c>
      <c r="C8" s="140">
        <v>0</v>
      </c>
      <c r="D8" s="141">
        <f>'[2]podrobná tabulka'!O29</f>
        <v>51630</v>
      </c>
    </row>
    <row r="9" spans="1:6" ht="14.45" x14ac:dyDescent="0.3">
      <c r="A9" s="138" t="s">
        <v>127</v>
      </c>
      <c r="B9" s="140">
        <v>650000</v>
      </c>
      <c r="C9" s="140">
        <v>539990</v>
      </c>
      <c r="D9" s="141">
        <f>'[2]podrobná tabulka'!O26</f>
        <v>650000</v>
      </c>
    </row>
    <row r="10" spans="1:6" x14ac:dyDescent="0.25">
      <c r="A10" s="138" t="s">
        <v>128</v>
      </c>
      <c r="B10" s="140">
        <v>160908</v>
      </c>
      <c r="C10" s="140">
        <f>102442+76</f>
        <v>102518</v>
      </c>
      <c r="D10" s="141">
        <f>'[2]podrobná tabulka'!O34</f>
        <v>115640</v>
      </c>
    </row>
    <row r="11" spans="1:6" x14ac:dyDescent="0.25">
      <c r="A11" s="138" t="s">
        <v>129</v>
      </c>
      <c r="B11" s="140">
        <v>1000</v>
      </c>
      <c r="C11" s="140">
        <v>2483.6799999999998</v>
      </c>
      <c r="D11" s="141">
        <f>'[2]podrobná tabulka'!O36</f>
        <v>0</v>
      </c>
    </row>
    <row r="12" spans="1:6" thickBot="1" x14ac:dyDescent="0.35">
      <c r="A12" s="143"/>
      <c r="B12" s="145"/>
      <c r="C12" s="145"/>
      <c r="D12" s="532"/>
    </row>
    <row r="13" spans="1:6" thickBot="1" x14ac:dyDescent="0.35">
      <c r="A13" s="148" t="s">
        <v>130</v>
      </c>
      <c r="B13" s="149">
        <f>SUM(B4:B12)</f>
        <v>3802470.304</v>
      </c>
      <c r="C13" s="149">
        <f>SUM(C4:C12)</f>
        <v>3758316.2600000002</v>
      </c>
      <c r="D13" s="149">
        <f>SUM(D4:D12)</f>
        <v>4324848.1256680004</v>
      </c>
    </row>
    <row r="14" spans="1:6" thickBot="1" x14ac:dyDescent="0.35">
      <c r="A14" s="150"/>
      <c r="B14" s="167"/>
      <c r="C14" s="167"/>
      <c r="D14" s="256"/>
    </row>
    <row r="15" spans="1:6" ht="15.75" thickBot="1" x14ac:dyDescent="0.3">
      <c r="A15" s="153" t="s">
        <v>1</v>
      </c>
      <c r="B15" s="154"/>
      <c r="C15" s="154"/>
      <c r="D15" s="283"/>
    </row>
    <row r="16" spans="1:6" x14ac:dyDescent="0.25">
      <c r="A16" s="156" t="s">
        <v>131</v>
      </c>
      <c r="B16" s="157">
        <v>30000</v>
      </c>
      <c r="C16" s="157">
        <v>27492.55</v>
      </c>
      <c r="D16" s="158">
        <f>'[2]podrobná tabulka'!O44</f>
        <v>28000</v>
      </c>
    </row>
    <row r="17" spans="1:4" x14ac:dyDescent="0.25">
      <c r="A17" s="159" t="s">
        <v>132</v>
      </c>
      <c r="B17" s="157">
        <v>5000</v>
      </c>
      <c r="C17" s="160">
        <v>23103</v>
      </c>
      <c r="D17" s="161">
        <f>'[2]podrobná tabulka'!O46</f>
        <v>31500</v>
      </c>
    </row>
    <row r="18" spans="1:4" ht="14.45" x14ac:dyDescent="0.3">
      <c r="A18" s="159" t="s">
        <v>133</v>
      </c>
      <c r="B18" s="157">
        <v>100000</v>
      </c>
      <c r="C18" s="160">
        <v>83436.800000000003</v>
      </c>
      <c r="D18" s="161">
        <f>'[2]podrobná tabulka'!O49</f>
        <v>150418</v>
      </c>
    </row>
    <row r="19" spans="1:4" x14ac:dyDescent="0.25">
      <c r="A19" s="162" t="s">
        <v>134</v>
      </c>
      <c r="B19" s="157">
        <v>151200</v>
      </c>
      <c r="C19" s="163">
        <v>113013.11999999998</v>
      </c>
      <c r="D19" s="213">
        <f>'[2]podrobná tabulka'!O54</f>
        <v>159868.27000000002</v>
      </c>
    </row>
    <row r="20" spans="1:4" thickBot="1" x14ac:dyDescent="0.35">
      <c r="A20" s="162"/>
      <c r="B20" s="157">
        <v>0</v>
      </c>
      <c r="C20" s="163"/>
      <c r="D20" s="213"/>
    </row>
    <row r="21" spans="1:4" thickBot="1" x14ac:dyDescent="0.35">
      <c r="A21" s="165" t="s">
        <v>130</v>
      </c>
      <c r="B21" s="166">
        <f>SUM(B16:B20)</f>
        <v>286200</v>
      </c>
      <c r="C21" s="166">
        <f>SUM(C16:C20)</f>
        <v>247045.46999999997</v>
      </c>
      <c r="D21" s="224">
        <f>SUM(D16:D20)</f>
        <v>369786.27</v>
      </c>
    </row>
    <row r="22" spans="1:4" thickBot="1" x14ac:dyDescent="0.35">
      <c r="A22" s="150"/>
      <c r="B22" s="167"/>
      <c r="C22" s="167"/>
      <c r="D22" s="34"/>
    </row>
    <row r="23" spans="1:4" ht="15.75" thickBot="1" x14ac:dyDescent="0.3">
      <c r="A23" s="168" t="s">
        <v>2</v>
      </c>
      <c r="B23" s="169"/>
      <c r="C23" s="169"/>
      <c r="D23" s="284"/>
    </row>
    <row r="24" spans="1:4" ht="15.75" thickBot="1" x14ac:dyDescent="0.3">
      <c r="A24" s="171" t="s">
        <v>135</v>
      </c>
      <c r="B24" s="172">
        <v>60000</v>
      </c>
      <c r="C24" s="172">
        <v>34402.260000000009</v>
      </c>
      <c r="D24" s="173">
        <f>'[2]podrobná tabulka'!O59</f>
        <v>40000</v>
      </c>
    </row>
    <row r="25" spans="1:4" thickBot="1" x14ac:dyDescent="0.35">
      <c r="A25" s="174" t="s">
        <v>130</v>
      </c>
      <c r="B25" s="175">
        <f>SUM(B24)</f>
        <v>60000</v>
      </c>
      <c r="C25" s="175">
        <f>SUM(C24)</f>
        <v>34402.260000000009</v>
      </c>
      <c r="D25" s="215">
        <f>SUM(D24)</f>
        <v>40000</v>
      </c>
    </row>
    <row r="26" spans="1:4" ht="14.45" x14ac:dyDescent="0.3">
      <c r="A26" s="150"/>
      <c r="B26" s="167"/>
      <c r="C26" s="167"/>
      <c r="D26" s="34"/>
    </row>
    <row r="27" spans="1:4" thickBot="1" x14ac:dyDescent="0.35">
      <c r="A27" s="150"/>
      <c r="B27" s="167"/>
      <c r="C27" s="167"/>
      <c r="D27" s="34"/>
    </row>
    <row r="28" spans="1:4" ht="15.75" thickBot="1" x14ac:dyDescent="0.3">
      <c r="A28" s="176" t="s">
        <v>136</v>
      </c>
      <c r="B28" s="177"/>
      <c r="C28" s="177"/>
      <c r="D28" s="286"/>
    </row>
    <row r="29" spans="1:4" ht="15.75" thickBot="1" x14ac:dyDescent="0.3">
      <c r="A29" s="179" t="s">
        <v>137</v>
      </c>
      <c r="B29" s="180">
        <v>5000</v>
      </c>
      <c r="C29" s="180">
        <v>19736</v>
      </c>
      <c r="D29" s="181">
        <f>'[2]podrobná tabulka'!O63</f>
        <v>20000</v>
      </c>
    </row>
    <row r="30" spans="1:4" thickBot="1" x14ac:dyDescent="0.35">
      <c r="A30" s="182" t="s">
        <v>130</v>
      </c>
      <c r="B30" s="183">
        <f>SUM(B29)</f>
        <v>5000</v>
      </c>
      <c r="C30" s="183">
        <f>SUM(C29)</f>
        <v>19736</v>
      </c>
      <c r="D30" s="216">
        <f>SUM(D29)</f>
        <v>20000</v>
      </c>
    </row>
    <row r="31" spans="1:4" thickBot="1" x14ac:dyDescent="0.35">
      <c r="A31" s="150"/>
      <c r="B31" s="167"/>
      <c r="C31" s="167"/>
      <c r="D31" s="34"/>
    </row>
    <row r="32" spans="1:4" thickBot="1" x14ac:dyDescent="0.35">
      <c r="A32" s="235" t="s">
        <v>3</v>
      </c>
      <c r="B32" s="236"/>
      <c r="C32" s="236"/>
      <c r="D32" s="287">
        <v>0</v>
      </c>
    </row>
    <row r="33" spans="1:4" thickBot="1" x14ac:dyDescent="0.35">
      <c r="A33" s="237" t="s">
        <v>130</v>
      </c>
      <c r="B33" s="238"/>
      <c r="C33" s="238"/>
      <c r="D33" s="288">
        <v>0</v>
      </c>
    </row>
    <row r="34" spans="1:4" thickBot="1" x14ac:dyDescent="0.35">
      <c r="A34" s="150"/>
      <c r="B34" s="167"/>
      <c r="C34" s="167"/>
      <c r="D34" s="34"/>
    </row>
    <row r="35" spans="1:4" ht="15.75" thickBot="1" x14ac:dyDescent="0.3">
      <c r="A35" s="192" t="s">
        <v>5</v>
      </c>
      <c r="B35" s="193"/>
      <c r="C35" s="193"/>
      <c r="D35" s="289"/>
    </row>
    <row r="36" spans="1:4" ht="14.45" x14ac:dyDescent="0.3">
      <c r="A36" s="195" t="s">
        <v>138</v>
      </c>
      <c r="B36" s="196">
        <v>20076</v>
      </c>
      <c r="C36" s="196">
        <v>15345.89</v>
      </c>
      <c r="D36" s="196">
        <f>'[2]podrobná tabulka'!O66</f>
        <v>18770.759999999998</v>
      </c>
    </row>
    <row r="37" spans="1:4" x14ac:dyDescent="0.25">
      <c r="A37" s="198" t="s">
        <v>139</v>
      </c>
      <c r="B37" s="199">
        <v>2000</v>
      </c>
      <c r="C37" s="199">
        <v>1385</v>
      </c>
      <c r="D37" s="199">
        <f>'[2]podrobná tabulka'!O68</f>
        <v>1380</v>
      </c>
    </row>
    <row r="38" spans="1:4" ht="14.45" x14ac:dyDescent="0.3">
      <c r="A38" s="198" t="s">
        <v>140</v>
      </c>
      <c r="B38" s="199">
        <v>0</v>
      </c>
      <c r="C38" s="199">
        <v>0</v>
      </c>
      <c r="D38" s="199">
        <v>0</v>
      </c>
    </row>
    <row r="39" spans="1:4" ht="14.45" x14ac:dyDescent="0.3">
      <c r="A39" s="198" t="s">
        <v>141</v>
      </c>
      <c r="B39" s="199">
        <v>0</v>
      </c>
      <c r="C39" s="196">
        <v>0</v>
      </c>
      <c r="D39" s="196">
        <v>0</v>
      </c>
    </row>
    <row r="40" spans="1:4" x14ac:dyDescent="0.25">
      <c r="A40" s="198" t="s">
        <v>142</v>
      </c>
      <c r="B40" s="199">
        <v>5000</v>
      </c>
      <c r="C40" s="199">
        <v>2185</v>
      </c>
      <c r="D40" s="199">
        <f>'[2]podrobná tabulka'!O67</f>
        <v>5000</v>
      </c>
    </row>
    <row r="41" spans="1:4" x14ac:dyDescent="0.25">
      <c r="A41" s="198" t="s">
        <v>292</v>
      </c>
      <c r="B41" s="199">
        <v>200000</v>
      </c>
      <c r="C41" s="199">
        <v>132903.94</v>
      </c>
      <c r="D41" s="199">
        <f>'[2]podrobná tabulka'!O69</f>
        <v>159155</v>
      </c>
    </row>
    <row r="42" spans="1:4" ht="15.75" thickBot="1" x14ac:dyDescent="0.3">
      <c r="A42" s="202" t="s">
        <v>130</v>
      </c>
      <c r="B42" s="203">
        <f>SUM(B36:B41)</f>
        <v>227076</v>
      </c>
      <c r="C42" s="203">
        <f>SUM(C36:C41)</f>
        <v>151819.83000000002</v>
      </c>
      <c r="D42" s="203">
        <f>SUM(D36:D41)</f>
        <v>184305.76</v>
      </c>
    </row>
    <row r="43" spans="1:4" ht="15.75" thickBot="1" x14ac:dyDescent="0.3">
      <c r="A43" s="533" t="s">
        <v>214</v>
      </c>
      <c r="B43" s="534">
        <v>38359</v>
      </c>
      <c r="C43" s="534">
        <v>58537</v>
      </c>
      <c r="D43" s="535">
        <v>66047</v>
      </c>
    </row>
    <row r="44" spans="1:4" ht="19.5" thickBot="1" x14ac:dyDescent="0.35">
      <c r="A44" s="206" t="s">
        <v>10</v>
      </c>
      <c r="B44" s="536">
        <f>B42+B30+B25+B21+B13+B43</f>
        <v>4419105.3039999995</v>
      </c>
      <c r="C44" s="207">
        <f>C13+C21+C25+C30+C42+C43</f>
        <v>4269856.82</v>
      </c>
      <c r="D44" s="207">
        <f>D13+D21+D25+D30+D42+D43</f>
        <v>5004987.1556679998</v>
      </c>
    </row>
    <row r="45" spans="1:4" ht="18.600000000000001" hidden="1" thickBot="1" x14ac:dyDescent="0.4">
      <c r="A45" s="206" t="s">
        <v>298</v>
      </c>
      <c r="B45" s="537"/>
      <c r="C45" s="537"/>
      <c r="D45" s="538">
        <v>4938940.16</v>
      </c>
    </row>
    <row r="46" spans="1:4" ht="18.600000000000001" hidden="1" thickBot="1" x14ac:dyDescent="0.4">
      <c r="A46" s="206" t="s">
        <v>299</v>
      </c>
      <c r="B46" s="537">
        <f>B45-B44</f>
        <v>-4419105.3039999995</v>
      </c>
      <c r="C46" s="537">
        <f>C45-C44</f>
        <v>-4269856.82</v>
      </c>
      <c r="D46" s="538">
        <f>D45-D44</f>
        <v>-66046.99566799961</v>
      </c>
    </row>
    <row r="47" spans="1:4" x14ac:dyDescent="0.25">
      <c r="A47" s="18"/>
      <c r="B47" s="18"/>
      <c r="C47" s="278"/>
      <c r="D47" s="18"/>
    </row>
    <row r="48" spans="1:4" x14ac:dyDescent="0.25">
      <c r="A48" s="581" t="s">
        <v>300</v>
      </c>
      <c r="B48" s="581"/>
      <c r="C48" s="581"/>
      <c r="D48" s="581"/>
    </row>
    <row r="49" spans="1:4" x14ac:dyDescent="0.25">
      <c r="A49" s="18"/>
      <c r="B49" s="18"/>
      <c r="C49" s="18"/>
      <c r="D49" s="18"/>
    </row>
    <row r="50" spans="1:4" x14ac:dyDescent="0.25">
      <c r="A50" t="s">
        <v>301</v>
      </c>
    </row>
    <row r="51" spans="1:4" x14ac:dyDescent="0.25">
      <c r="A51" t="s">
        <v>302</v>
      </c>
    </row>
  </sheetData>
  <mergeCells count="1">
    <mergeCell ref="A48:D48"/>
  </mergeCells>
  <pageMargins left="0.7" right="0.7" top="0.78740157499999996" bottom="0.78740157499999996" header="0.3" footer="0.3"/>
  <pageSetup paperSize="9"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16" workbookViewId="0">
      <selection activeCell="E30" sqref="E30"/>
    </sheetView>
  </sheetViews>
  <sheetFormatPr defaultRowHeight="15" x14ac:dyDescent="0.25"/>
  <cols>
    <col min="1" max="1" width="37.7109375" bestFit="1" customWidth="1"/>
    <col min="2" max="2" width="19.42578125" customWidth="1"/>
    <col min="3" max="3" width="24" customWidth="1"/>
    <col min="4" max="4" width="18.42578125" customWidth="1"/>
  </cols>
  <sheetData>
    <row r="1" spans="1:6" ht="24" thickBot="1" x14ac:dyDescent="0.4">
      <c r="A1" s="126" t="s">
        <v>182</v>
      </c>
      <c r="B1" s="127"/>
      <c r="C1" s="127"/>
    </row>
    <row r="2" spans="1:6" ht="19.5" thickBot="1" x14ac:dyDescent="0.35">
      <c r="A2" s="212" t="s">
        <v>183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184</v>
      </c>
    </row>
    <row r="4" spans="1:6" ht="14.45" x14ac:dyDescent="0.3">
      <c r="A4" s="134" t="s">
        <v>122</v>
      </c>
      <c r="B4" s="135"/>
      <c r="C4" s="136">
        <v>678836</v>
      </c>
      <c r="D4" s="137">
        <v>842829</v>
      </c>
    </row>
    <row r="5" spans="1:6" x14ac:dyDescent="0.25">
      <c r="A5" s="138" t="s">
        <v>123</v>
      </c>
      <c r="B5" s="139"/>
      <c r="C5" s="140">
        <v>127500</v>
      </c>
      <c r="D5" s="141">
        <v>120000</v>
      </c>
    </row>
    <row r="6" spans="1:6" x14ac:dyDescent="0.25">
      <c r="A6" s="138" t="s">
        <v>124</v>
      </c>
      <c r="B6" s="139"/>
      <c r="C6" s="140">
        <v>294893.63</v>
      </c>
      <c r="D6" s="141">
        <v>350662</v>
      </c>
      <c r="F6" s="50"/>
    </row>
    <row r="7" spans="1:6" x14ac:dyDescent="0.25">
      <c r="A7" s="138" t="s">
        <v>125</v>
      </c>
      <c r="B7" s="139"/>
      <c r="C7" s="140"/>
      <c r="D7" s="142">
        <v>0</v>
      </c>
    </row>
    <row r="8" spans="1:6" x14ac:dyDescent="0.25">
      <c r="A8" s="138" t="s">
        <v>149</v>
      </c>
      <c r="B8" s="139"/>
      <c r="C8" s="140"/>
      <c r="D8" s="142">
        <v>0</v>
      </c>
    </row>
    <row r="9" spans="1:6" ht="14.45" x14ac:dyDescent="0.3">
      <c r="A9" s="138" t="s">
        <v>127</v>
      </c>
      <c r="B9" s="139"/>
      <c r="C9" s="140">
        <v>220800</v>
      </c>
      <c r="D9" s="141">
        <v>240000</v>
      </c>
    </row>
    <row r="10" spans="1:6" x14ac:dyDescent="0.25">
      <c r="A10" s="138" t="s">
        <v>128</v>
      </c>
      <c r="B10" s="139"/>
      <c r="C10" s="140">
        <v>4480</v>
      </c>
      <c r="D10" s="141">
        <v>5000</v>
      </c>
    </row>
    <row r="11" spans="1:6" ht="15.75" thickBot="1" x14ac:dyDescent="0.3">
      <c r="A11" s="138" t="s">
        <v>129</v>
      </c>
      <c r="B11" s="139"/>
      <c r="C11" s="140"/>
      <c r="D11" s="141">
        <v>0</v>
      </c>
    </row>
    <row r="12" spans="1:6" thickBot="1" x14ac:dyDescent="0.35">
      <c r="A12" s="148" t="s">
        <v>130</v>
      </c>
      <c r="B12" s="149">
        <v>1430000</v>
      </c>
      <c r="C12" s="149">
        <f>SUM(C4:C11)</f>
        <v>1326509.6299999999</v>
      </c>
      <c r="D12" s="149">
        <f>SUM(D4:D11)</f>
        <v>1558491</v>
      </c>
    </row>
    <row r="13" spans="1:6" thickBot="1" x14ac:dyDescent="0.35">
      <c r="A13" s="150"/>
      <c r="B13" s="151"/>
      <c r="C13" s="151"/>
      <c r="D13" s="152"/>
    </row>
    <row r="14" spans="1:6" ht="15.75" thickBot="1" x14ac:dyDescent="0.3">
      <c r="A14" s="153" t="s">
        <v>1</v>
      </c>
      <c r="B14" s="154"/>
      <c r="C14" s="154"/>
      <c r="D14" s="155"/>
    </row>
    <row r="15" spans="1:6" x14ac:dyDescent="0.25">
      <c r="A15" s="156" t="s">
        <v>131</v>
      </c>
      <c r="B15" s="157"/>
      <c r="C15" s="157"/>
      <c r="D15" s="158"/>
    </row>
    <row r="16" spans="1:6" x14ac:dyDescent="0.25">
      <c r="A16" s="159" t="s">
        <v>132</v>
      </c>
      <c r="B16" s="160"/>
      <c r="C16" s="160"/>
      <c r="D16" s="161"/>
    </row>
    <row r="17" spans="1:4" ht="14.45" x14ac:dyDescent="0.3">
      <c r="A17" s="159" t="s">
        <v>133</v>
      </c>
      <c r="B17" s="160"/>
      <c r="C17" s="160"/>
      <c r="D17" s="161"/>
    </row>
    <row r="18" spans="1:4" x14ac:dyDescent="0.25">
      <c r="A18" s="162" t="s">
        <v>134</v>
      </c>
      <c r="B18" s="163"/>
      <c r="C18" s="163"/>
      <c r="D18" s="213"/>
    </row>
    <row r="19" spans="1:4" thickBot="1" x14ac:dyDescent="0.35">
      <c r="A19" s="162"/>
      <c r="B19" s="163"/>
      <c r="C19" s="163"/>
      <c r="D19" s="164"/>
    </row>
    <row r="20" spans="1:4" thickBot="1" x14ac:dyDescent="0.35">
      <c r="A20" s="165" t="s">
        <v>130</v>
      </c>
      <c r="B20" s="166">
        <v>55000</v>
      </c>
      <c r="C20" s="166">
        <v>0</v>
      </c>
      <c r="D20" s="224">
        <v>50000</v>
      </c>
    </row>
    <row r="21" spans="1:4" thickBot="1" x14ac:dyDescent="0.35">
      <c r="A21" s="150"/>
      <c r="B21" s="167"/>
      <c r="C21" s="167"/>
      <c r="D21" s="34"/>
    </row>
    <row r="22" spans="1:4" ht="15.75" thickBot="1" x14ac:dyDescent="0.3">
      <c r="A22" s="168" t="s">
        <v>2</v>
      </c>
      <c r="B22" s="169"/>
      <c r="C22" s="169"/>
      <c r="D22" s="170"/>
    </row>
    <row r="23" spans="1:4" ht="15.75" thickBot="1" x14ac:dyDescent="0.3">
      <c r="A23" s="171" t="s">
        <v>135</v>
      </c>
      <c r="B23" s="172"/>
      <c r="C23" s="172">
        <v>51760</v>
      </c>
      <c r="D23" s="173"/>
    </row>
    <row r="24" spans="1:4" thickBot="1" x14ac:dyDescent="0.35">
      <c r="A24" s="174" t="s">
        <v>130</v>
      </c>
      <c r="B24" s="175">
        <v>30000</v>
      </c>
      <c r="C24" s="175">
        <f>C23</f>
        <v>51760</v>
      </c>
      <c r="D24" s="285">
        <v>50000</v>
      </c>
    </row>
    <row r="25" spans="1:4" ht="14.45" x14ac:dyDescent="0.3">
      <c r="A25" s="150"/>
      <c r="B25" s="167"/>
      <c r="C25" s="167"/>
      <c r="D25" s="34"/>
    </row>
    <row r="26" spans="1:4" thickBot="1" x14ac:dyDescent="0.35">
      <c r="A26" s="150"/>
      <c r="B26" s="167"/>
      <c r="C26" s="167"/>
      <c r="D26" s="34"/>
    </row>
    <row r="27" spans="1:4" ht="15.75" thickBot="1" x14ac:dyDescent="0.3">
      <c r="A27" s="176" t="s">
        <v>136</v>
      </c>
      <c r="B27" s="177"/>
      <c r="C27" s="177"/>
      <c r="D27" s="178"/>
    </row>
    <row r="28" spans="1:4" ht="15.75" thickBot="1" x14ac:dyDescent="0.3">
      <c r="A28" s="179" t="s">
        <v>137</v>
      </c>
      <c r="B28" s="180"/>
      <c r="C28" s="180"/>
      <c r="D28" s="181"/>
    </row>
    <row r="29" spans="1:4" thickBot="1" x14ac:dyDescent="0.35">
      <c r="A29" s="182" t="s">
        <v>130</v>
      </c>
      <c r="B29" s="183">
        <v>0</v>
      </c>
      <c r="C29" s="183">
        <v>0</v>
      </c>
      <c r="D29" s="216">
        <v>0</v>
      </c>
    </row>
    <row r="30" spans="1:4" thickBot="1" x14ac:dyDescent="0.35">
      <c r="A30" s="150"/>
      <c r="B30" s="167"/>
      <c r="C30" s="167"/>
      <c r="D30" s="34"/>
    </row>
    <row r="31" spans="1:4" thickBot="1" x14ac:dyDescent="0.35">
      <c r="A31" s="184" t="s">
        <v>3</v>
      </c>
      <c r="B31" s="185"/>
      <c r="C31" s="185"/>
      <c r="D31" s="187">
        <v>0</v>
      </c>
    </row>
    <row r="32" spans="1:4" thickBot="1" x14ac:dyDescent="0.35">
      <c r="A32" s="188" t="s">
        <v>130</v>
      </c>
      <c r="B32" s="189">
        <v>0</v>
      </c>
      <c r="C32" s="189">
        <v>0</v>
      </c>
      <c r="D32" s="190">
        <v>0</v>
      </c>
    </row>
    <row r="33" spans="1:4" thickBot="1" x14ac:dyDescent="0.35">
      <c r="A33" s="150"/>
      <c r="B33" s="167"/>
      <c r="C33" s="167"/>
      <c r="D33" s="191"/>
    </row>
    <row r="34" spans="1:4" ht="15.75" thickBot="1" x14ac:dyDescent="0.3">
      <c r="A34" s="192" t="s">
        <v>5</v>
      </c>
      <c r="B34" s="193"/>
      <c r="C34" s="193"/>
      <c r="D34" s="194"/>
    </row>
    <row r="35" spans="1:4" ht="14.45" x14ac:dyDescent="0.3">
      <c r="A35" s="195" t="s">
        <v>138</v>
      </c>
      <c r="B35" s="196"/>
      <c r="C35" s="196">
        <v>3022.87</v>
      </c>
      <c r="D35" s="197">
        <v>3000</v>
      </c>
    </row>
    <row r="36" spans="1:4" x14ac:dyDescent="0.25">
      <c r="A36" s="198" t="s">
        <v>5</v>
      </c>
      <c r="B36" s="199"/>
      <c r="C36" s="199">
        <v>24526.67</v>
      </c>
      <c r="D36" s="200">
        <v>25000</v>
      </c>
    </row>
    <row r="37" spans="1:4" ht="14.45" x14ac:dyDescent="0.3">
      <c r="A37" s="198"/>
      <c r="B37" s="199"/>
      <c r="C37" s="199">
        <v>0</v>
      </c>
      <c r="D37" s="201"/>
    </row>
    <row r="38" spans="1:4" ht="14.45" x14ac:dyDescent="0.3">
      <c r="A38" s="198"/>
      <c r="B38" s="199"/>
      <c r="C38" s="199"/>
      <c r="D38" s="201"/>
    </row>
    <row r="39" spans="1:4" x14ac:dyDescent="0.25">
      <c r="A39" s="198"/>
      <c r="B39" s="199"/>
      <c r="C39" s="199"/>
      <c r="D39" s="201"/>
    </row>
    <row r="40" spans="1:4" x14ac:dyDescent="0.25">
      <c r="A40" s="198"/>
      <c r="B40" s="199"/>
      <c r="C40" s="199"/>
      <c r="D40" s="201"/>
    </row>
    <row r="41" spans="1:4" x14ac:dyDescent="0.25">
      <c r="A41" s="198"/>
      <c r="B41" s="199"/>
      <c r="C41" s="199"/>
      <c r="D41" s="201"/>
    </row>
    <row r="42" spans="1:4" x14ac:dyDescent="0.25">
      <c r="A42" s="217"/>
      <c r="B42" s="218"/>
      <c r="C42" s="218"/>
      <c r="D42" s="219"/>
    </row>
    <row r="43" spans="1:4" ht="15.75" thickBot="1" x14ac:dyDescent="0.3">
      <c r="A43" s="202" t="s">
        <v>130</v>
      </c>
      <c r="B43" s="203">
        <v>40000</v>
      </c>
      <c r="C43" s="203">
        <f>SUM(C35:C42)</f>
        <v>27549.539999999997</v>
      </c>
      <c r="D43" s="220">
        <f>SUM(D35:D42)</f>
        <v>28000</v>
      </c>
    </row>
    <row r="44" spans="1:4" ht="15.75" thickBot="1" x14ac:dyDescent="0.3">
      <c r="A44" s="14"/>
      <c r="B44" s="204"/>
      <c r="C44" s="204"/>
      <c r="D44" s="205"/>
    </row>
    <row r="45" spans="1:4" ht="19.5" thickBot="1" x14ac:dyDescent="0.35">
      <c r="A45" s="206" t="s">
        <v>10</v>
      </c>
      <c r="B45" s="207">
        <f>B12+B20+B24+B29+B32+B43</f>
        <v>1555000</v>
      </c>
      <c r="C45" s="207">
        <f>C12+C20+C24+C29+C32+C43</f>
        <v>1405819.17</v>
      </c>
      <c r="D45" s="208">
        <f>D43+D32+D29+D24+D20+D12</f>
        <v>1686491</v>
      </c>
    </row>
    <row r="46" spans="1:4" x14ac:dyDescent="0.25">
      <c r="A46" s="18"/>
      <c r="B46" s="18"/>
      <c r="C46" s="18"/>
      <c r="D46" s="18"/>
    </row>
    <row r="47" spans="1:4" x14ac:dyDescent="0.25">
      <c r="A47" s="562" t="s">
        <v>185</v>
      </c>
      <c r="B47" s="562"/>
      <c r="C47" s="562"/>
      <c r="D47" s="562"/>
    </row>
    <row r="48" spans="1:4" ht="26.45" customHeight="1" x14ac:dyDescent="0.25">
      <c r="A48" s="562"/>
      <c r="B48" s="562"/>
      <c r="C48" s="562"/>
      <c r="D48" s="562"/>
    </row>
    <row r="49" spans="1:4" ht="26.45" customHeight="1" x14ac:dyDescent="0.25">
      <c r="A49" s="576" t="s">
        <v>186</v>
      </c>
      <c r="B49" s="576"/>
      <c r="C49" s="576"/>
      <c r="D49" s="576"/>
    </row>
    <row r="50" spans="1:4" x14ac:dyDescent="0.25">
      <c r="A50" s="18"/>
      <c r="B50" s="18"/>
      <c r="C50" s="18"/>
      <c r="D50" s="18"/>
    </row>
    <row r="51" spans="1:4" x14ac:dyDescent="0.25">
      <c r="A51" s="211"/>
      <c r="B51" s="18"/>
      <c r="C51" s="18"/>
      <c r="D51" s="18"/>
    </row>
    <row r="54" spans="1:4" x14ac:dyDescent="0.25">
      <c r="B54" s="304"/>
    </row>
  </sheetData>
  <mergeCells count="2">
    <mergeCell ref="A47:D48"/>
    <mergeCell ref="A49:D49"/>
  </mergeCells>
  <pageMargins left="0.7" right="0.7" top="0.78740157499999996" bottom="0.78740157499999996" header="0.3" footer="0.3"/>
  <pageSetup paperSize="9" scale="8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22" workbookViewId="0">
      <selection activeCell="A50" sqref="A50"/>
    </sheetView>
  </sheetViews>
  <sheetFormatPr defaultRowHeight="15" x14ac:dyDescent="0.25"/>
  <cols>
    <col min="1" max="1" width="37.7109375" bestFit="1" customWidth="1"/>
    <col min="2" max="2" width="19.42578125" customWidth="1"/>
    <col min="3" max="3" width="24" customWidth="1"/>
    <col min="4" max="4" width="18.42578125" customWidth="1"/>
    <col min="6" max="6" width="11.5703125" customWidth="1"/>
  </cols>
  <sheetData>
    <row r="1" spans="1:6" ht="24" thickBot="1" x14ac:dyDescent="0.4">
      <c r="A1" s="126" t="s">
        <v>116</v>
      </c>
      <c r="B1" s="127"/>
      <c r="C1" s="127"/>
    </row>
    <row r="2" spans="1:6" ht="19.5" thickBot="1" x14ac:dyDescent="0.35">
      <c r="A2" s="212" t="s">
        <v>280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520" t="s">
        <v>281</v>
      </c>
    </row>
    <row r="4" spans="1:6" ht="14.45" x14ac:dyDescent="0.3">
      <c r="A4" s="134" t="s">
        <v>122</v>
      </c>
      <c r="B4" s="135"/>
      <c r="C4" s="135">
        <v>1797743</v>
      </c>
      <c r="D4" s="137">
        <v>2039130</v>
      </c>
    </row>
    <row r="5" spans="1:6" x14ac:dyDescent="0.25">
      <c r="A5" s="138" t="s">
        <v>123</v>
      </c>
      <c r="B5" s="139"/>
      <c r="C5" s="139">
        <v>81000</v>
      </c>
      <c r="D5" s="141">
        <v>180000</v>
      </c>
    </row>
    <row r="6" spans="1:6" x14ac:dyDescent="0.25">
      <c r="A6" s="138" t="s">
        <v>124</v>
      </c>
      <c r="B6" s="139"/>
      <c r="C6" s="139">
        <v>686901</v>
      </c>
      <c r="D6" s="141">
        <v>808207</v>
      </c>
      <c r="F6" s="50"/>
    </row>
    <row r="7" spans="1:6" x14ac:dyDescent="0.25">
      <c r="A7" s="138" t="s">
        <v>125</v>
      </c>
      <c r="B7" s="139"/>
      <c r="C7" s="139"/>
      <c r="D7" s="142"/>
    </row>
    <row r="8" spans="1:6" x14ac:dyDescent="0.25">
      <c r="A8" s="138" t="s">
        <v>149</v>
      </c>
      <c r="B8" s="139"/>
      <c r="C8" s="139"/>
      <c r="D8" s="142"/>
    </row>
    <row r="9" spans="1:6" ht="14.45" x14ac:dyDescent="0.3">
      <c r="A9" s="138" t="s">
        <v>127</v>
      </c>
      <c r="B9" s="139"/>
      <c r="C9" s="139">
        <v>72450</v>
      </c>
      <c r="D9" s="141">
        <v>150000</v>
      </c>
    </row>
    <row r="10" spans="1:6" x14ac:dyDescent="0.25">
      <c r="A10" s="138" t="s">
        <v>128</v>
      </c>
      <c r="B10" s="139"/>
      <c r="C10" s="139">
        <v>64886</v>
      </c>
      <c r="D10" s="141">
        <v>81813</v>
      </c>
    </row>
    <row r="11" spans="1:6" x14ac:dyDescent="0.25">
      <c r="A11" s="138" t="s">
        <v>129</v>
      </c>
      <c r="B11" s="139"/>
      <c r="C11" s="139"/>
      <c r="D11" s="141"/>
    </row>
    <row r="12" spans="1:6" thickBot="1" x14ac:dyDescent="0.35">
      <c r="A12" s="143"/>
      <c r="B12" s="144"/>
      <c r="C12" s="144"/>
      <c r="D12" s="146"/>
    </row>
    <row r="13" spans="1:6" thickBot="1" x14ac:dyDescent="0.35">
      <c r="A13" s="148" t="s">
        <v>130</v>
      </c>
      <c r="B13" s="149">
        <v>3061983</v>
      </c>
      <c r="C13" s="149">
        <v>2702980</v>
      </c>
      <c r="D13" s="149">
        <f>SUM(D4:D12)</f>
        <v>3259150</v>
      </c>
    </row>
    <row r="14" spans="1:6" thickBot="1" x14ac:dyDescent="0.35">
      <c r="A14" s="150"/>
      <c r="B14" s="151"/>
      <c r="C14" s="151"/>
      <c r="D14" s="152"/>
    </row>
    <row r="15" spans="1:6" ht="15.75" thickBot="1" x14ac:dyDescent="0.3">
      <c r="A15" s="153" t="s">
        <v>1</v>
      </c>
      <c r="B15" s="154"/>
      <c r="C15" s="154"/>
      <c r="D15" s="155"/>
    </row>
    <row r="16" spans="1:6" x14ac:dyDescent="0.25">
      <c r="A16" s="156" t="s">
        <v>131</v>
      </c>
      <c r="B16" s="157"/>
      <c r="C16" s="157">
        <v>8325</v>
      </c>
      <c r="D16" s="158">
        <v>10000</v>
      </c>
    </row>
    <row r="17" spans="1:6" x14ac:dyDescent="0.25">
      <c r="A17" s="159" t="s">
        <v>132</v>
      </c>
      <c r="B17" s="160"/>
      <c r="C17" s="160"/>
      <c r="D17" s="161">
        <v>10000</v>
      </c>
    </row>
    <row r="18" spans="1:6" ht="14.45" x14ac:dyDescent="0.3">
      <c r="A18" s="159" t="s">
        <v>133</v>
      </c>
      <c r="B18" s="160"/>
      <c r="C18" s="160"/>
      <c r="D18" s="161">
        <v>60000</v>
      </c>
      <c r="E18" t="s">
        <v>43</v>
      </c>
    </row>
    <row r="19" spans="1:6" x14ac:dyDescent="0.25">
      <c r="A19" s="162" t="s">
        <v>134</v>
      </c>
      <c r="B19" s="163"/>
      <c r="C19" s="163">
        <v>4061</v>
      </c>
      <c r="D19" s="164">
        <v>0</v>
      </c>
      <c r="F19" s="50"/>
    </row>
    <row r="20" spans="1:6" thickBot="1" x14ac:dyDescent="0.35">
      <c r="A20" s="162"/>
      <c r="B20" s="163"/>
      <c r="C20" s="163"/>
      <c r="D20" s="164"/>
    </row>
    <row r="21" spans="1:6" thickBot="1" x14ac:dyDescent="0.35">
      <c r="A21" s="165" t="s">
        <v>130</v>
      </c>
      <c r="B21" s="166">
        <v>80000</v>
      </c>
      <c r="C21" s="166">
        <v>12386</v>
      </c>
      <c r="D21" s="224">
        <f>SUM(D16:D20)</f>
        <v>80000</v>
      </c>
    </row>
    <row r="22" spans="1:6" thickBot="1" x14ac:dyDescent="0.35">
      <c r="A22" s="150"/>
      <c r="B22" s="167"/>
      <c r="C22" s="167"/>
      <c r="D22" s="34"/>
    </row>
    <row r="23" spans="1:6" ht="15.75" thickBot="1" x14ac:dyDescent="0.3">
      <c r="A23" s="168" t="s">
        <v>2</v>
      </c>
      <c r="B23" s="169"/>
      <c r="C23" s="169"/>
      <c r="D23" s="170"/>
    </row>
    <row r="24" spans="1:6" ht="15.75" thickBot="1" x14ac:dyDescent="0.3">
      <c r="A24" s="171" t="s">
        <v>135</v>
      </c>
      <c r="B24" s="172"/>
      <c r="C24" s="172">
        <v>266</v>
      </c>
      <c r="D24" s="173">
        <v>60000</v>
      </c>
    </row>
    <row r="25" spans="1:6" thickBot="1" x14ac:dyDescent="0.35">
      <c r="A25" s="174" t="s">
        <v>130</v>
      </c>
      <c r="B25" s="175">
        <v>40000</v>
      </c>
      <c r="C25" s="175">
        <v>266</v>
      </c>
      <c r="D25" s="285">
        <f>D24</f>
        <v>60000</v>
      </c>
    </row>
    <row r="26" spans="1:6" ht="14.45" x14ac:dyDescent="0.3">
      <c r="A26" s="150"/>
      <c r="B26" s="167"/>
      <c r="C26" s="167"/>
      <c r="D26" s="34"/>
    </row>
    <row r="27" spans="1:6" thickBot="1" x14ac:dyDescent="0.35">
      <c r="A27" s="150"/>
      <c r="B27" s="167"/>
      <c r="C27" s="167"/>
      <c r="D27" s="34"/>
    </row>
    <row r="28" spans="1:6" ht="15.75" thickBot="1" x14ac:dyDescent="0.3">
      <c r="A28" s="176" t="s">
        <v>136</v>
      </c>
      <c r="B28" s="177"/>
      <c r="C28" s="177"/>
      <c r="D28" s="178"/>
    </row>
    <row r="29" spans="1:6" ht="15.75" thickBot="1" x14ac:dyDescent="0.3">
      <c r="A29" s="179" t="s">
        <v>137</v>
      </c>
      <c r="B29" s="180"/>
      <c r="C29" s="180"/>
      <c r="D29" s="181">
        <v>10000</v>
      </c>
    </row>
    <row r="30" spans="1:6" thickBot="1" x14ac:dyDescent="0.35">
      <c r="A30" s="182" t="s">
        <v>130</v>
      </c>
      <c r="B30" s="183">
        <v>10000</v>
      </c>
      <c r="C30" s="183">
        <v>0</v>
      </c>
      <c r="D30" s="234">
        <f>D29</f>
        <v>10000</v>
      </c>
    </row>
    <row r="31" spans="1:6" thickBot="1" x14ac:dyDescent="0.35">
      <c r="A31" s="150"/>
      <c r="B31" s="167"/>
      <c r="C31" s="167"/>
      <c r="D31" s="34"/>
    </row>
    <row r="32" spans="1:6" thickBot="1" x14ac:dyDescent="0.35">
      <c r="A32" s="235" t="s">
        <v>3</v>
      </c>
      <c r="B32" s="236"/>
      <c r="C32" s="236"/>
      <c r="D32" s="187">
        <v>0</v>
      </c>
    </row>
    <row r="33" spans="1:6" thickBot="1" x14ac:dyDescent="0.35">
      <c r="A33" s="237" t="s">
        <v>130</v>
      </c>
      <c r="B33" s="238">
        <v>0</v>
      </c>
      <c r="C33" s="238">
        <v>0</v>
      </c>
      <c r="D33" s="190">
        <v>0</v>
      </c>
    </row>
    <row r="34" spans="1:6" thickBot="1" x14ac:dyDescent="0.35">
      <c r="A34" s="150"/>
      <c r="B34" s="167"/>
      <c r="C34" s="167"/>
      <c r="D34" s="191"/>
    </row>
    <row r="35" spans="1:6" ht="15.75" thickBot="1" x14ac:dyDescent="0.3">
      <c r="A35" s="192" t="s">
        <v>5</v>
      </c>
      <c r="B35" s="193"/>
      <c r="C35" s="193"/>
      <c r="D35" s="194"/>
    </row>
    <row r="36" spans="1:6" ht="14.45" x14ac:dyDescent="0.3">
      <c r="A36" s="195" t="s">
        <v>138</v>
      </c>
      <c r="B36" s="196"/>
      <c r="C36" s="196">
        <v>0.13</v>
      </c>
      <c r="D36" s="197"/>
    </row>
    <row r="37" spans="1:6" x14ac:dyDescent="0.25">
      <c r="A37" s="198" t="s">
        <v>139</v>
      </c>
      <c r="B37" s="199"/>
      <c r="C37" s="199"/>
      <c r="D37" s="200">
        <v>0</v>
      </c>
    </row>
    <row r="38" spans="1:6" ht="14.45" x14ac:dyDescent="0.3">
      <c r="A38" s="198" t="s">
        <v>140</v>
      </c>
      <c r="B38" s="199"/>
      <c r="C38" s="199"/>
      <c r="D38" s="201"/>
    </row>
    <row r="39" spans="1:6" ht="14.45" x14ac:dyDescent="0.3">
      <c r="A39" s="198" t="s">
        <v>141</v>
      </c>
      <c r="B39" s="199"/>
      <c r="C39" s="199"/>
      <c r="D39" s="201"/>
    </row>
    <row r="40" spans="1:6" x14ac:dyDescent="0.25">
      <c r="A40" s="198" t="s">
        <v>142</v>
      </c>
      <c r="B40" s="199"/>
      <c r="C40" s="199">
        <v>110</v>
      </c>
      <c r="D40" s="201">
        <v>0</v>
      </c>
    </row>
    <row r="41" spans="1:6" ht="15.75" thickBot="1" x14ac:dyDescent="0.3">
      <c r="A41" s="198" t="s">
        <v>180</v>
      </c>
      <c r="B41" s="199"/>
      <c r="C41" s="199">
        <v>13093</v>
      </c>
      <c r="D41" s="291">
        <v>10000</v>
      </c>
      <c r="F41" s="50"/>
    </row>
    <row r="42" spans="1:6" thickBot="1" x14ac:dyDescent="0.35">
      <c r="A42" s="202" t="s">
        <v>130</v>
      </c>
      <c r="B42" s="203">
        <v>10000</v>
      </c>
      <c r="C42" s="203">
        <v>13203</v>
      </c>
      <c r="D42" s="220">
        <f>D36+D37+D38+D39+D40+D41</f>
        <v>10000</v>
      </c>
    </row>
    <row r="43" spans="1:6" thickBot="1" x14ac:dyDescent="0.35">
      <c r="A43" s="14"/>
      <c r="B43" s="204"/>
      <c r="C43" s="204"/>
      <c r="D43" s="205"/>
    </row>
    <row r="44" spans="1:6" ht="18.600000000000001" thickBot="1" x14ac:dyDescent="0.4">
      <c r="A44" s="206" t="s">
        <v>10</v>
      </c>
      <c r="B44" s="207">
        <f>B13+B21+B25+B30+B33+B42</f>
        <v>3201983</v>
      </c>
      <c r="C44" s="207">
        <f>C13+C21+C25+C30+C33+C42</f>
        <v>2728835</v>
      </c>
      <c r="D44" s="208">
        <f>D42+D33+D30+D25+D21+D13</f>
        <v>3419150</v>
      </c>
    </row>
    <row r="45" spans="1:6" x14ac:dyDescent="0.25">
      <c r="A45" s="18"/>
      <c r="B45" s="18"/>
      <c r="C45" s="18"/>
      <c r="D45" s="18"/>
    </row>
    <row r="46" spans="1:6" x14ac:dyDescent="0.25">
      <c r="A46" s="333" t="s">
        <v>282</v>
      </c>
      <c r="B46" s="222"/>
      <c r="C46" s="222"/>
      <c r="D46" s="18"/>
    </row>
    <row r="47" spans="1:6" x14ac:dyDescent="0.25">
      <c r="A47" s="18"/>
      <c r="B47" s="18"/>
      <c r="C47" s="18"/>
      <c r="D47" s="18"/>
    </row>
    <row r="48" spans="1:6" x14ac:dyDescent="0.25">
      <c r="A48" s="581" t="s">
        <v>283</v>
      </c>
      <c r="B48" s="581"/>
      <c r="C48" s="581"/>
      <c r="D48" s="581"/>
    </row>
    <row r="49" spans="1:4" x14ac:dyDescent="0.25">
      <c r="A49" s="26" t="s">
        <v>284</v>
      </c>
      <c r="B49" s="18"/>
      <c r="C49" s="18"/>
      <c r="D49" s="18"/>
    </row>
    <row r="50" spans="1:4" x14ac:dyDescent="0.25">
      <c r="A50" s="18"/>
      <c r="B50" s="18"/>
      <c r="C50" s="18"/>
      <c r="D50" s="18"/>
    </row>
  </sheetData>
  <mergeCells count="1">
    <mergeCell ref="A48:D48"/>
  </mergeCells>
  <pageMargins left="0.7" right="0.7" top="0.78740157499999996" bottom="0.78740157499999996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topLeftCell="C25" workbookViewId="0">
      <selection activeCell="F40" sqref="F40"/>
    </sheetView>
  </sheetViews>
  <sheetFormatPr defaultRowHeight="15" x14ac:dyDescent="0.25"/>
  <cols>
    <col min="1" max="1" width="0" hidden="1" customWidth="1"/>
    <col min="2" max="2" width="38.85546875" customWidth="1"/>
    <col min="3" max="4" width="13.85546875" customWidth="1"/>
    <col min="5" max="12" width="11.7109375" customWidth="1"/>
    <col min="13" max="13" width="16" customWidth="1"/>
    <col min="14" max="14" width="16.140625" customWidth="1"/>
    <col min="15" max="15" width="14.5703125" customWidth="1"/>
    <col min="16" max="16" width="8" customWidth="1"/>
    <col min="17" max="17" width="7.42578125" customWidth="1"/>
    <col min="18" max="18" width="15.140625" customWidth="1"/>
    <col min="21" max="21" width="16" bestFit="1" customWidth="1"/>
    <col min="22" max="22" width="15.140625" customWidth="1"/>
  </cols>
  <sheetData>
    <row r="1" spans="2:15" ht="15" customHeight="1" x14ac:dyDescent="0.3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5" ht="21" x14ac:dyDescent="0.35">
      <c r="B2" s="53" t="s">
        <v>72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5" ht="11.25" customHeight="1" thickBot="1" x14ac:dyDescent="0.4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5" s="80" customFormat="1" ht="45.75" thickBot="1" x14ac:dyDescent="0.35">
      <c r="B4" s="564" t="s">
        <v>73</v>
      </c>
      <c r="C4" s="565"/>
      <c r="D4" s="110" t="s">
        <v>87</v>
      </c>
      <c r="E4" s="86" t="s">
        <v>74</v>
      </c>
      <c r="F4" s="87" t="s">
        <v>1</v>
      </c>
      <c r="G4" s="86" t="s">
        <v>2</v>
      </c>
      <c r="H4" s="86" t="s">
        <v>3</v>
      </c>
      <c r="I4" s="86" t="s">
        <v>4</v>
      </c>
      <c r="J4" s="86" t="s">
        <v>5</v>
      </c>
      <c r="K4" s="86" t="s">
        <v>13</v>
      </c>
      <c r="L4" s="87" t="s">
        <v>101</v>
      </c>
      <c r="M4" s="80">
        <v>30</v>
      </c>
      <c r="N4" s="80">
        <v>11</v>
      </c>
    </row>
    <row r="5" spans="2:15" x14ac:dyDescent="0.25">
      <c r="B5" s="76" t="s">
        <v>6</v>
      </c>
      <c r="C5" s="82">
        <v>3900</v>
      </c>
      <c r="D5" s="113" t="s">
        <v>90</v>
      </c>
      <c r="E5" s="71">
        <v>11048882</v>
      </c>
      <c r="F5" s="63">
        <v>75226</v>
      </c>
      <c r="G5" s="71">
        <v>50000</v>
      </c>
      <c r="H5" s="71">
        <v>0</v>
      </c>
      <c r="I5" s="71">
        <v>10000</v>
      </c>
      <c r="J5" s="71">
        <v>500000</v>
      </c>
      <c r="K5" s="71">
        <v>56000</v>
      </c>
      <c r="L5" s="116">
        <f t="shared" ref="L5:L31" si="0">K5+J5+I5+H5+G5+F5+E5</f>
        <v>11740108</v>
      </c>
      <c r="M5">
        <f>L5*0.5</f>
        <v>5870054</v>
      </c>
      <c r="N5" s="50">
        <f>L5-M5</f>
        <v>5870054</v>
      </c>
      <c r="O5">
        <f>M5/L5</f>
        <v>0.5</v>
      </c>
    </row>
    <row r="6" spans="2:15" x14ac:dyDescent="0.25">
      <c r="B6" s="77" t="s">
        <v>65</v>
      </c>
      <c r="C6" s="83">
        <v>3923</v>
      </c>
      <c r="D6" s="113" t="s">
        <v>93</v>
      </c>
      <c r="E6" s="72">
        <v>1089071</v>
      </c>
      <c r="F6" s="64">
        <v>34000</v>
      </c>
      <c r="G6" s="72">
        <v>0</v>
      </c>
      <c r="H6" s="72">
        <v>0</v>
      </c>
      <c r="I6" s="72">
        <v>3000</v>
      </c>
      <c r="J6" s="72">
        <v>407600</v>
      </c>
      <c r="K6" s="72">
        <v>0</v>
      </c>
      <c r="L6" s="117">
        <f t="shared" si="0"/>
        <v>1533671</v>
      </c>
      <c r="M6">
        <f>L6*0.25</f>
        <v>383417.75</v>
      </c>
      <c r="N6" s="50">
        <f t="shared" ref="N6:N31" si="1">L6-M6</f>
        <v>1150253.25</v>
      </c>
      <c r="O6">
        <f t="shared" ref="O6:O31" si="2">M6/L6</f>
        <v>0.25</v>
      </c>
    </row>
    <row r="7" spans="2:15" x14ac:dyDescent="0.25">
      <c r="B7" s="77" t="s">
        <v>14</v>
      </c>
      <c r="C7" s="77">
        <v>3901</v>
      </c>
      <c r="D7" s="113" t="s">
        <v>89</v>
      </c>
      <c r="E7" s="72">
        <v>3976212</v>
      </c>
      <c r="F7" s="64">
        <v>73000</v>
      </c>
      <c r="G7" s="72">
        <v>3000</v>
      </c>
      <c r="H7" s="72">
        <v>0</v>
      </c>
      <c r="I7" s="72">
        <v>4500</v>
      </c>
      <c r="J7" s="72">
        <v>17500</v>
      </c>
      <c r="K7" s="72">
        <v>0</v>
      </c>
      <c r="L7" s="117">
        <f t="shared" si="0"/>
        <v>4074212</v>
      </c>
      <c r="M7">
        <f t="shared" ref="M7:M26" si="3">L7*0.75</f>
        <v>3055659</v>
      </c>
      <c r="N7" s="50">
        <f t="shared" si="1"/>
        <v>1018553</v>
      </c>
      <c r="O7">
        <f t="shared" si="2"/>
        <v>0.75</v>
      </c>
    </row>
    <row r="8" spans="2:15" x14ac:dyDescent="0.25">
      <c r="B8" s="77" t="s">
        <v>15</v>
      </c>
      <c r="C8" s="77">
        <v>3903</v>
      </c>
      <c r="D8" s="113" t="s">
        <v>94</v>
      </c>
      <c r="E8" s="72">
        <v>3361826</v>
      </c>
      <c r="F8" s="64">
        <v>135000</v>
      </c>
      <c r="G8" s="72">
        <v>20000</v>
      </c>
      <c r="H8" s="72">
        <v>0</v>
      </c>
      <c r="I8" s="72">
        <v>10000</v>
      </c>
      <c r="J8" s="72">
        <v>56000</v>
      </c>
      <c r="K8" s="72">
        <v>0</v>
      </c>
      <c r="L8" s="117">
        <f t="shared" si="0"/>
        <v>3582826</v>
      </c>
      <c r="M8">
        <f t="shared" si="3"/>
        <v>2687119.5</v>
      </c>
      <c r="N8" s="50">
        <f t="shared" si="1"/>
        <v>895706.5</v>
      </c>
      <c r="O8">
        <f t="shared" si="2"/>
        <v>0.75</v>
      </c>
    </row>
    <row r="9" spans="2:15" x14ac:dyDescent="0.25">
      <c r="B9" s="77" t="s">
        <v>16</v>
      </c>
      <c r="C9" s="77">
        <v>3904</v>
      </c>
      <c r="D9" s="113" t="s">
        <v>95</v>
      </c>
      <c r="E9" s="72">
        <v>1457771</v>
      </c>
      <c r="F9" s="64">
        <v>65700</v>
      </c>
      <c r="G9" s="72">
        <v>10000</v>
      </c>
      <c r="H9" s="72">
        <v>0</v>
      </c>
      <c r="I9" s="72">
        <v>1500</v>
      </c>
      <c r="J9" s="72">
        <v>13700</v>
      </c>
      <c r="K9" s="72">
        <v>0</v>
      </c>
      <c r="L9" s="117">
        <f t="shared" si="0"/>
        <v>1548671</v>
      </c>
      <c r="M9">
        <f>L9*1</f>
        <v>1548671</v>
      </c>
      <c r="N9" s="50">
        <f t="shared" si="1"/>
        <v>0</v>
      </c>
      <c r="O9">
        <f t="shared" si="2"/>
        <v>1</v>
      </c>
    </row>
    <row r="10" spans="2:15" x14ac:dyDescent="0.25">
      <c r="B10" s="77" t="s">
        <v>17</v>
      </c>
      <c r="C10" s="77">
        <v>3905</v>
      </c>
      <c r="D10" s="113" t="s">
        <v>88</v>
      </c>
      <c r="E10" s="111">
        <v>1214474</v>
      </c>
      <c r="F10" s="64">
        <v>35000</v>
      </c>
      <c r="G10" s="72">
        <v>8000</v>
      </c>
      <c r="H10" s="72">
        <v>0</v>
      </c>
      <c r="I10" s="72">
        <v>3000</v>
      </c>
      <c r="J10" s="72">
        <v>8000</v>
      </c>
      <c r="K10" s="72">
        <v>0</v>
      </c>
      <c r="L10" s="117">
        <f t="shared" si="0"/>
        <v>1268474</v>
      </c>
      <c r="M10">
        <f>L10*0.5</f>
        <v>634237</v>
      </c>
      <c r="N10" s="50">
        <f t="shared" si="1"/>
        <v>634237</v>
      </c>
      <c r="O10">
        <f t="shared" si="2"/>
        <v>0.5</v>
      </c>
    </row>
    <row r="11" spans="2:15" x14ac:dyDescent="0.25">
      <c r="B11" s="77" t="s">
        <v>18</v>
      </c>
      <c r="C11" s="77">
        <v>3906</v>
      </c>
      <c r="D11" s="113" t="s">
        <v>96</v>
      </c>
      <c r="E11" s="72">
        <v>1591860</v>
      </c>
      <c r="F11" s="64">
        <v>170000</v>
      </c>
      <c r="G11" s="72">
        <v>20000</v>
      </c>
      <c r="H11" s="72">
        <v>0</v>
      </c>
      <c r="I11" s="72">
        <v>5000</v>
      </c>
      <c r="J11" s="72">
        <v>245000</v>
      </c>
      <c r="K11" s="72">
        <v>0</v>
      </c>
      <c r="L11" s="117">
        <f t="shared" si="0"/>
        <v>2031860</v>
      </c>
      <c r="M11">
        <f>L11*0.25</f>
        <v>507965</v>
      </c>
      <c r="N11" s="50">
        <f t="shared" si="1"/>
        <v>1523895</v>
      </c>
      <c r="O11">
        <f t="shared" si="2"/>
        <v>0.25</v>
      </c>
    </row>
    <row r="12" spans="2:15" x14ac:dyDescent="0.25">
      <c r="B12" s="77" t="s">
        <v>19</v>
      </c>
      <c r="C12" s="77">
        <v>3907</v>
      </c>
      <c r="D12" s="113" t="s">
        <v>97</v>
      </c>
      <c r="E12" s="72">
        <v>4641508</v>
      </c>
      <c r="F12" s="64">
        <v>205000</v>
      </c>
      <c r="G12" s="72">
        <v>20000</v>
      </c>
      <c r="H12" s="72">
        <v>0</v>
      </c>
      <c r="I12" s="72">
        <v>10000</v>
      </c>
      <c r="J12" s="72">
        <v>64500</v>
      </c>
      <c r="K12" s="72">
        <v>0</v>
      </c>
      <c r="L12" s="117">
        <f t="shared" si="0"/>
        <v>4941008</v>
      </c>
      <c r="M12">
        <f t="shared" ref="M12" si="4">L12*0</f>
        <v>0</v>
      </c>
      <c r="N12" s="50">
        <f t="shared" si="1"/>
        <v>4941008</v>
      </c>
      <c r="O12">
        <f t="shared" si="2"/>
        <v>0</v>
      </c>
    </row>
    <row r="13" spans="2:15" ht="15.75" thickBot="1" x14ac:dyDescent="0.3">
      <c r="B13" s="77" t="s">
        <v>20</v>
      </c>
      <c r="C13" s="77">
        <v>3908</v>
      </c>
      <c r="D13" s="113" t="s">
        <v>98</v>
      </c>
      <c r="E13" s="72">
        <v>2186489</v>
      </c>
      <c r="F13" s="64">
        <v>38000</v>
      </c>
      <c r="G13" s="72">
        <v>5000</v>
      </c>
      <c r="H13" s="72">
        <v>0</v>
      </c>
      <c r="I13" s="72">
        <v>3000</v>
      </c>
      <c r="J13" s="72">
        <v>99600</v>
      </c>
      <c r="K13" s="72">
        <v>0</v>
      </c>
      <c r="L13" s="117">
        <f t="shared" si="0"/>
        <v>2332089</v>
      </c>
      <c r="M13">
        <f t="shared" si="3"/>
        <v>1749066.75</v>
      </c>
      <c r="N13" s="50">
        <f t="shared" si="1"/>
        <v>583022.25</v>
      </c>
      <c r="O13">
        <f t="shared" si="2"/>
        <v>0.75</v>
      </c>
    </row>
    <row r="14" spans="2:15" x14ac:dyDescent="0.25">
      <c r="B14" s="78" t="s">
        <v>83</v>
      </c>
      <c r="C14" s="84" t="s">
        <v>84</v>
      </c>
      <c r="D14" s="122" t="s">
        <v>99</v>
      </c>
      <c r="E14" s="75">
        <f t="shared" ref="E14" si="5">SUM(E15:E17)</f>
        <v>3970086</v>
      </c>
      <c r="F14" s="81">
        <f>SUM(F15:F17)</f>
        <v>1110000</v>
      </c>
      <c r="G14" s="75">
        <f t="shared" ref="G14:K14" si="6">SUM(G15:G17)</f>
        <v>10000</v>
      </c>
      <c r="H14" s="75">
        <f t="shared" si="6"/>
        <v>1150000</v>
      </c>
      <c r="I14" s="75">
        <f t="shared" si="6"/>
        <v>2075000</v>
      </c>
      <c r="J14" s="75">
        <f t="shared" si="6"/>
        <v>1705000</v>
      </c>
      <c r="K14" s="75">
        <f t="shared" si="6"/>
        <v>159665</v>
      </c>
      <c r="L14" s="118">
        <f t="shared" si="0"/>
        <v>10179751</v>
      </c>
      <c r="M14">
        <f t="shared" si="3"/>
        <v>7634813.25</v>
      </c>
      <c r="N14" s="50">
        <f t="shared" si="1"/>
        <v>2544937.75</v>
      </c>
      <c r="O14">
        <f t="shared" si="2"/>
        <v>0.75</v>
      </c>
    </row>
    <row r="15" spans="2:15" x14ac:dyDescent="0.25">
      <c r="B15" s="88" t="s">
        <v>78</v>
      </c>
      <c r="C15" s="89">
        <v>3911</v>
      </c>
      <c r="D15" s="113" t="s">
        <v>99</v>
      </c>
      <c r="E15" s="90">
        <v>3970086</v>
      </c>
      <c r="F15" s="91">
        <v>1000000</v>
      </c>
      <c r="G15" s="90">
        <v>10000</v>
      </c>
      <c r="H15" s="90">
        <v>0</v>
      </c>
      <c r="I15" s="90">
        <v>1695000</v>
      </c>
      <c r="J15" s="90">
        <v>1375000</v>
      </c>
      <c r="K15" s="90">
        <v>159665</v>
      </c>
      <c r="L15" s="90">
        <f t="shared" si="0"/>
        <v>8209751</v>
      </c>
      <c r="M15">
        <f>L15*0.5</f>
        <v>4104875.5</v>
      </c>
      <c r="N15" s="50">
        <f t="shared" si="1"/>
        <v>4104875.5</v>
      </c>
      <c r="O15">
        <f t="shared" si="2"/>
        <v>0.5</v>
      </c>
    </row>
    <row r="16" spans="2:15" x14ac:dyDescent="0.25">
      <c r="B16" s="88" t="s">
        <v>79</v>
      </c>
      <c r="C16" s="89">
        <v>3913</v>
      </c>
      <c r="D16" s="113" t="s">
        <v>100</v>
      </c>
      <c r="E16" s="90">
        <v>0</v>
      </c>
      <c r="F16" s="91">
        <v>30000</v>
      </c>
      <c r="G16" s="90">
        <v>0</v>
      </c>
      <c r="H16" s="90">
        <v>0</v>
      </c>
      <c r="I16" s="90">
        <v>255000</v>
      </c>
      <c r="J16" s="90">
        <v>125000</v>
      </c>
      <c r="K16" s="90">
        <v>0</v>
      </c>
      <c r="L16" s="90">
        <f t="shared" si="0"/>
        <v>410000</v>
      </c>
      <c r="M16">
        <f t="shared" si="3"/>
        <v>307500</v>
      </c>
      <c r="N16" s="50">
        <f t="shared" si="1"/>
        <v>102500</v>
      </c>
      <c r="O16">
        <f t="shared" si="2"/>
        <v>0.75</v>
      </c>
    </row>
    <row r="17" spans="2:15" ht="15.75" thickBot="1" x14ac:dyDescent="0.3">
      <c r="B17" s="92" t="s">
        <v>80</v>
      </c>
      <c r="C17" s="93">
        <v>3940</v>
      </c>
      <c r="D17" s="113" t="s">
        <v>100</v>
      </c>
      <c r="E17" s="94">
        <v>0</v>
      </c>
      <c r="F17" s="95">
        <v>80000</v>
      </c>
      <c r="G17" s="94">
        <v>0</v>
      </c>
      <c r="H17" s="94">
        <v>1150000</v>
      </c>
      <c r="I17" s="94">
        <v>125000</v>
      </c>
      <c r="J17" s="94">
        <v>205000</v>
      </c>
      <c r="K17" s="94">
        <v>0</v>
      </c>
      <c r="L17" s="90">
        <f t="shared" si="0"/>
        <v>1560000</v>
      </c>
      <c r="M17">
        <f>L17*0</f>
        <v>0</v>
      </c>
      <c r="N17" s="50">
        <f t="shared" si="1"/>
        <v>1560000</v>
      </c>
      <c r="O17">
        <f t="shared" si="2"/>
        <v>0</v>
      </c>
    </row>
    <row r="18" spans="2:15" x14ac:dyDescent="0.25">
      <c r="B18" s="78" t="s">
        <v>76</v>
      </c>
      <c r="C18" s="85" t="s">
        <v>85</v>
      </c>
      <c r="D18" s="123" t="s">
        <v>107</v>
      </c>
      <c r="E18" s="75">
        <f>SUM(E19:E21)</f>
        <v>7851345.2300000004</v>
      </c>
      <c r="F18" s="81">
        <f>SUM(F19:F21)</f>
        <v>1135000</v>
      </c>
      <c r="G18" s="75">
        <f t="shared" ref="G18:K18" si="7">SUM(G19:G21)</f>
        <v>2000</v>
      </c>
      <c r="H18" s="75">
        <f t="shared" si="7"/>
        <v>0</v>
      </c>
      <c r="I18" s="75">
        <f t="shared" si="7"/>
        <v>130000</v>
      </c>
      <c r="J18" s="75">
        <f t="shared" si="7"/>
        <v>1280000</v>
      </c>
      <c r="K18" s="75">
        <f t="shared" si="7"/>
        <v>0</v>
      </c>
      <c r="L18" s="118">
        <f t="shared" si="0"/>
        <v>10398345.23</v>
      </c>
      <c r="M18">
        <f t="shared" si="3"/>
        <v>7798758.9225000003</v>
      </c>
      <c r="N18" s="50">
        <f t="shared" si="1"/>
        <v>2599586.3075000001</v>
      </c>
      <c r="O18">
        <f t="shared" si="2"/>
        <v>0.75</v>
      </c>
    </row>
    <row r="19" spans="2:15" x14ac:dyDescent="0.25">
      <c r="B19" s="88" t="s">
        <v>77</v>
      </c>
      <c r="C19" s="89">
        <v>3916</v>
      </c>
      <c r="D19" s="113" t="s">
        <v>105</v>
      </c>
      <c r="E19" s="90">
        <v>6091811.7300000004</v>
      </c>
      <c r="F19" s="91">
        <v>755000</v>
      </c>
      <c r="G19" s="90">
        <v>2000</v>
      </c>
      <c r="H19" s="90">
        <v>0</v>
      </c>
      <c r="I19" s="90">
        <v>100000</v>
      </c>
      <c r="J19" s="90">
        <v>900000</v>
      </c>
      <c r="K19" s="90">
        <v>0</v>
      </c>
      <c r="L19" s="91">
        <f t="shared" si="0"/>
        <v>7848811.7300000004</v>
      </c>
      <c r="M19">
        <f>L19*0.5</f>
        <v>3924405.8650000002</v>
      </c>
      <c r="N19" s="50">
        <f t="shared" si="1"/>
        <v>3924405.8650000002</v>
      </c>
      <c r="O19">
        <f t="shared" si="2"/>
        <v>0.5</v>
      </c>
    </row>
    <row r="20" spans="2:15" x14ac:dyDescent="0.25">
      <c r="B20" s="88" t="s">
        <v>81</v>
      </c>
      <c r="C20" s="89">
        <v>3914</v>
      </c>
      <c r="D20" s="113" t="s">
        <v>104</v>
      </c>
      <c r="E20" s="90">
        <v>1111280</v>
      </c>
      <c r="F20" s="91">
        <v>120000</v>
      </c>
      <c r="G20" s="90">
        <v>0</v>
      </c>
      <c r="H20" s="90">
        <v>0</v>
      </c>
      <c r="I20" s="90">
        <v>20000</v>
      </c>
      <c r="J20" s="90">
        <v>230000</v>
      </c>
      <c r="K20" s="90">
        <v>0</v>
      </c>
      <c r="L20" s="91">
        <f t="shared" si="0"/>
        <v>1481280</v>
      </c>
      <c r="M20">
        <f t="shared" si="3"/>
        <v>1110960</v>
      </c>
      <c r="N20" s="50">
        <f t="shared" si="1"/>
        <v>370320</v>
      </c>
      <c r="O20">
        <f t="shared" si="2"/>
        <v>0.75</v>
      </c>
    </row>
    <row r="21" spans="2:15" ht="15.75" thickBot="1" x14ac:dyDescent="0.3">
      <c r="B21" s="92" t="s">
        <v>82</v>
      </c>
      <c r="C21" s="96">
        <v>3941</v>
      </c>
      <c r="D21" s="113" t="s">
        <v>106</v>
      </c>
      <c r="E21" s="94">
        <v>648253.5</v>
      </c>
      <c r="F21" s="95">
        <v>260000</v>
      </c>
      <c r="G21" s="94">
        <v>0</v>
      </c>
      <c r="H21" s="94">
        <v>0</v>
      </c>
      <c r="I21" s="94">
        <v>10000</v>
      </c>
      <c r="J21" s="94">
        <v>150000</v>
      </c>
      <c r="K21" s="94">
        <v>0</v>
      </c>
      <c r="L21" s="95">
        <f t="shared" si="0"/>
        <v>1068253.5</v>
      </c>
      <c r="M21">
        <f>L21*0</f>
        <v>0</v>
      </c>
      <c r="N21" s="50">
        <f t="shared" si="1"/>
        <v>1068253.5</v>
      </c>
      <c r="O21">
        <f t="shared" si="2"/>
        <v>0</v>
      </c>
    </row>
    <row r="22" spans="2:15" ht="15.75" thickBot="1" x14ac:dyDescent="0.3">
      <c r="B22" s="98" t="s">
        <v>53</v>
      </c>
      <c r="C22" s="99">
        <v>3912</v>
      </c>
      <c r="D22" s="124" t="s">
        <v>111</v>
      </c>
      <c r="E22" s="100">
        <v>4631824</v>
      </c>
      <c r="F22" s="101">
        <v>1145000</v>
      </c>
      <c r="G22" s="100">
        <v>5000</v>
      </c>
      <c r="H22" s="100">
        <v>0</v>
      </c>
      <c r="I22" s="100">
        <v>1250000</v>
      </c>
      <c r="J22" s="100">
        <v>585000</v>
      </c>
      <c r="K22" s="100">
        <v>148000</v>
      </c>
      <c r="L22" s="119">
        <f t="shared" si="0"/>
        <v>7764824</v>
      </c>
      <c r="M22">
        <f>L22*0.5</f>
        <v>3882412</v>
      </c>
      <c r="N22" s="50">
        <f t="shared" si="1"/>
        <v>3882412</v>
      </c>
      <c r="O22">
        <f t="shared" si="2"/>
        <v>0.5</v>
      </c>
    </row>
    <row r="23" spans="2:15" ht="15.75" thickBot="1" x14ac:dyDescent="0.3">
      <c r="B23" s="98" t="s">
        <v>54</v>
      </c>
      <c r="C23" s="99">
        <v>3919</v>
      </c>
      <c r="D23" s="124" t="s">
        <v>108</v>
      </c>
      <c r="E23" s="100">
        <v>4193249.68</v>
      </c>
      <c r="F23" s="101">
        <v>830000</v>
      </c>
      <c r="G23" s="100">
        <v>2000</v>
      </c>
      <c r="H23" s="100">
        <v>0</v>
      </c>
      <c r="I23" s="100">
        <v>30000</v>
      </c>
      <c r="J23" s="100">
        <v>1100000</v>
      </c>
      <c r="K23" s="100">
        <v>0</v>
      </c>
      <c r="L23" s="119">
        <f t="shared" si="0"/>
        <v>6155249.6799999997</v>
      </c>
      <c r="M23">
        <f>L23*0.5</f>
        <v>3077624.84</v>
      </c>
      <c r="N23" s="50">
        <f t="shared" si="1"/>
        <v>3077624.84</v>
      </c>
      <c r="O23">
        <f t="shared" si="2"/>
        <v>0.5</v>
      </c>
    </row>
    <row r="24" spans="2:15" ht="15.75" thickBot="1" x14ac:dyDescent="0.3">
      <c r="B24" s="77" t="s">
        <v>24</v>
      </c>
      <c r="C24" s="77">
        <v>3918</v>
      </c>
      <c r="D24" s="113" t="s">
        <v>112</v>
      </c>
      <c r="E24" s="72">
        <v>1610183.2</v>
      </c>
      <c r="F24" s="64">
        <v>260000</v>
      </c>
      <c r="G24" s="72">
        <v>4000</v>
      </c>
      <c r="H24" s="72">
        <v>0</v>
      </c>
      <c r="I24" s="72">
        <v>80000</v>
      </c>
      <c r="J24" s="72">
        <v>118000</v>
      </c>
      <c r="K24" s="72">
        <v>82000</v>
      </c>
      <c r="L24" s="119">
        <f t="shared" si="0"/>
        <v>2154183.2000000002</v>
      </c>
      <c r="M24">
        <f>L24*0.5</f>
        <v>1077091.6000000001</v>
      </c>
      <c r="N24" s="50">
        <f t="shared" si="1"/>
        <v>1077091.6000000001</v>
      </c>
      <c r="O24">
        <f t="shared" si="2"/>
        <v>0.5</v>
      </c>
    </row>
    <row r="25" spans="2:15" ht="15.75" thickBot="1" x14ac:dyDescent="0.3">
      <c r="B25" s="98" t="s">
        <v>31</v>
      </c>
      <c r="C25" s="99">
        <v>3921</v>
      </c>
      <c r="D25" s="124" t="s">
        <v>100</v>
      </c>
      <c r="E25" s="100">
        <v>0</v>
      </c>
      <c r="F25" s="101">
        <v>0</v>
      </c>
      <c r="G25" s="100">
        <v>0</v>
      </c>
      <c r="H25" s="100">
        <v>3800000</v>
      </c>
      <c r="I25" s="100">
        <v>0</v>
      </c>
      <c r="J25" s="100">
        <v>0</v>
      </c>
      <c r="K25" s="100">
        <v>0</v>
      </c>
      <c r="L25" s="119">
        <f t="shared" si="0"/>
        <v>3800000</v>
      </c>
      <c r="M25">
        <f>L25*0.5</f>
        <v>1900000</v>
      </c>
      <c r="N25" s="50">
        <f t="shared" si="1"/>
        <v>1900000</v>
      </c>
      <c r="O25">
        <v>0</v>
      </c>
    </row>
    <row r="26" spans="2:15" ht="15.75" thickBot="1" x14ac:dyDescent="0.3">
      <c r="B26" s="98" t="s">
        <v>32</v>
      </c>
      <c r="C26" s="99">
        <v>3922</v>
      </c>
      <c r="D26" s="124" t="s">
        <v>100</v>
      </c>
      <c r="E26" s="100">
        <v>0</v>
      </c>
      <c r="F26" s="101">
        <v>0</v>
      </c>
      <c r="G26" s="100">
        <v>0</v>
      </c>
      <c r="H26" s="100">
        <v>2800000</v>
      </c>
      <c r="I26" s="100">
        <v>0</v>
      </c>
      <c r="J26" s="100">
        <v>0</v>
      </c>
      <c r="K26" s="100">
        <v>0</v>
      </c>
      <c r="L26" s="119">
        <f t="shared" si="0"/>
        <v>2800000</v>
      </c>
      <c r="M26">
        <f t="shared" si="3"/>
        <v>2100000</v>
      </c>
      <c r="N26" s="50">
        <f t="shared" si="1"/>
        <v>700000</v>
      </c>
      <c r="O26">
        <v>0</v>
      </c>
    </row>
    <row r="27" spans="2:15" ht="15.75" thickBot="1" x14ac:dyDescent="0.3">
      <c r="B27" s="77" t="s">
        <v>22</v>
      </c>
      <c r="C27" s="77">
        <v>3915</v>
      </c>
      <c r="D27" s="113" t="s">
        <v>106</v>
      </c>
      <c r="E27" s="72">
        <v>828855</v>
      </c>
      <c r="F27" s="64">
        <v>34600</v>
      </c>
      <c r="G27" s="72">
        <v>7000</v>
      </c>
      <c r="H27" s="72">
        <v>60000</v>
      </c>
      <c r="I27" s="72">
        <v>21000</v>
      </c>
      <c r="J27" s="72">
        <v>20100</v>
      </c>
      <c r="K27" s="72">
        <v>0</v>
      </c>
      <c r="L27" s="119">
        <f t="shared" si="0"/>
        <v>971555</v>
      </c>
      <c r="M27">
        <f t="shared" ref="M27:M30" si="8">L27*0</f>
        <v>0</v>
      </c>
      <c r="N27" s="50">
        <f t="shared" si="1"/>
        <v>971555</v>
      </c>
      <c r="O27">
        <f t="shared" si="2"/>
        <v>0</v>
      </c>
    </row>
    <row r="28" spans="2:15" ht="15.75" thickBot="1" x14ac:dyDescent="0.3">
      <c r="B28" s="77" t="s">
        <v>23</v>
      </c>
      <c r="C28" s="77">
        <v>3917</v>
      </c>
      <c r="D28" s="113" t="s">
        <v>110</v>
      </c>
      <c r="E28" s="72">
        <v>171611</v>
      </c>
      <c r="F28" s="64">
        <v>100000</v>
      </c>
      <c r="G28" s="72">
        <v>0</v>
      </c>
      <c r="H28" s="72">
        <v>155000</v>
      </c>
      <c r="I28" s="72">
        <v>80000</v>
      </c>
      <c r="J28" s="72">
        <v>20000</v>
      </c>
      <c r="K28" s="72">
        <v>0</v>
      </c>
      <c r="L28" s="119">
        <f t="shared" si="0"/>
        <v>526611</v>
      </c>
      <c r="M28">
        <f t="shared" si="8"/>
        <v>0</v>
      </c>
      <c r="N28" s="50">
        <f t="shared" si="1"/>
        <v>526611</v>
      </c>
      <c r="O28">
        <f t="shared" si="2"/>
        <v>0</v>
      </c>
    </row>
    <row r="29" spans="2:15" ht="15.75" thickBot="1" x14ac:dyDescent="0.3">
      <c r="B29" s="77" t="s">
        <v>35</v>
      </c>
      <c r="C29" s="77">
        <v>3740</v>
      </c>
      <c r="D29" s="113" t="s">
        <v>114</v>
      </c>
      <c r="E29" s="72">
        <v>4324848</v>
      </c>
      <c r="F29" s="64">
        <v>369786.27</v>
      </c>
      <c r="G29" s="72">
        <v>40000</v>
      </c>
      <c r="H29" s="72">
        <v>0</v>
      </c>
      <c r="I29" s="72">
        <v>20000</v>
      </c>
      <c r="J29" s="72">
        <v>184305.76</v>
      </c>
      <c r="K29" s="72">
        <v>66047</v>
      </c>
      <c r="L29" s="119">
        <f t="shared" si="0"/>
        <v>5004987.03</v>
      </c>
      <c r="M29">
        <f t="shared" si="8"/>
        <v>0</v>
      </c>
      <c r="N29" s="50">
        <f t="shared" si="1"/>
        <v>5004987.03</v>
      </c>
      <c r="O29">
        <f t="shared" si="2"/>
        <v>0</v>
      </c>
    </row>
    <row r="30" spans="2:15" ht="15.75" thickBot="1" x14ac:dyDescent="0.3">
      <c r="B30" s="77" t="s">
        <v>25</v>
      </c>
      <c r="C30" s="77">
        <v>3960</v>
      </c>
      <c r="D30" s="113" t="s">
        <v>113</v>
      </c>
      <c r="E30" s="72">
        <v>1558491</v>
      </c>
      <c r="F30" s="64">
        <v>50000</v>
      </c>
      <c r="G30" s="72">
        <v>50000</v>
      </c>
      <c r="H30" s="72">
        <v>0</v>
      </c>
      <c r="I30" s="72">
        <v>0</v>
      </c>
      <c r="J30" s="72">
        <v>28000</v>
      </c>
      <c r="K30" s="72">
        <v>0</v>
      </c>
      <c r="L30" s="119">
        <f t="shared" si="0"/>
        <v>1686491</v>
      </c>
      <c r="M30">
        <f t="shared" si="8"/>
        <v>0</v>
      </c>
      <c r="N30" s="50">
        <f t="shared" si="1"/>
        <v>1686491</v>
      </c>
      <c r="O30">
        <f t="shared" si="2"/>
        <v>0</v>
      </c>
    </row>
    <row r="31" spans="2:15" ht="15.75" thickBot="1" x14ac:dyDescent="0.3">
      <c r="B31" s="79" t="s">
        <v>26</v>
      </c>
      <c r="C31" s="79">
        <v>3210</v>
      </c>
      <c r="D31" s="113" t="s">
        <v>109</v>
      </c>
      <c r="E31" s="74">
        <v>3259150</v>
      </c>
      <c r="F31" s="65">
        <v>80000</v>
      </c>
      <c r="G31" s="74">
        <v>60000</v>
      </c>
      <c r="H31" s="74">
        <v>0</v>
      </c>
      <c r="I31" s="74">
        <v>10000</v>
      </c>
      <c r="J31" s="74">
        <v>10000</v>
      </c>
      <c r="K31" s="74">
        <v>0</v>
      </c>
      <c r="L31" s="119">
        <f t="shared" si="0"/>
        <v>3419150</v>
      </c>
      <c r="M31">
        <f>L31*0</f>
        <v>0</v>
      </c>
      <c r="N31" s="50">
        <f t="shared" si="1"/>
        <v>3419150</v>
      </c>
      <c r="O31">
        <f t="shared" si="2"/>
        <v>0</v>
      </c>
    </row>
    <row r="32" spans="2:15" ht="15.75" thickBot="1" x14ac:dyDescent="0.3">
      <c r="B32" s="69" t="s">
        <v>75</v>
      </c>
      <c r="C32" s="69"/>
      <c r="D32" s="125"/>
      <c r="E32" s="36">
        <f t="shared" ref="E32:N32" si="9">SUM(E5:E31)-E15-E16-E17-E19-E20-E21</f>
        <v>62967736.109999999</v>
      </c>
      <c r="F32" s="67">
        <f t="shared" si="9"/>
        <v>5945312.2699999996</v>
      </c>
      <c r="G32" s="36">
        <f t="shared" si="9"/>
        <v>316000</v>
      </c>
      <c r="H32" s="36">
        <f t="shared" si="9"/>
        <v>7965000</v>
      </c>
      <c r="I32" s="36">
        <f t="shared" si="9"/>
        <v>3746000</v>
      </c>
      <c r="J32" s="36">
        <f t="shared" si="9"/>
        <v>6462305.7599999998</v>
      </c>
      <c r="K32" s="36">
        <f t="shared" si="9"/>
        <v>511712</v>
      </c>
      <c r="L32" s="67">
        <f t="shared" si="9"/>
        <v>87914066.140000015</v>
      </c>
      <c r="M32" s="67">
        <f t="shared" si="9"/>
        <v>43906890.612499997</v>
      </c>
      <c r="N32" s="67">
        <f t="shared" si="9"/>
        <v>44007175.527500004</v>
      </c>
    </row>
    <row r="33" spans="2:18" x14ac:dyDescent="0.25">
      <c r="B33" s="70"/>
      <c r="C33" s="73"/>
      <c r="D33" s="73"/>
    </row>
    <row r="34" spans="2:18" x14ac:dyDescent="0.25">
      <c r="E34" s="61"/>
      <c r="F34" s="61"/>
      <c r="G34" s="61"/>
      <c r="H34" s="61"/>
      <c r="I34" s="61"/>
      <c r="J34" s="61"/>
      <c r="K34" s="61"/>
      <c r="L34" s="61"/>
      <c r="M34" s="5"/>
      <c r="N34" s="7"/>
      <c r="O34" s="7"/>
      <c r="P34" s="7"/>
      <c r="Q34" s="7"/>
      <c r="R34" s="7"/>
    </row>
    <row r="35" spans="2:18" ht="15.75" thickBot="1" x14ac:dyDescent="0.3">
      <c r="E35" s="6"/>
      <c r="F35" s="6"/>
      <c r="G35" s="6"/>
      <c r="H35" s="6"/>
      <c r="I35" s="6"/>
      <c r="J35" s="6"/>
      <c r="K35" s="6"/>
      <c r="L35" s="6"/>
      <c r="M35" s="5"/>
      <c r="N35" s="7"/>
      <c r="O35" s="7"/>
      <c r="P35" s="7"/>
      <c r="Q35" s="7"/>
      <c r="R35" s="7"/>
    </row>
    <row r="36" spans="2:18" ht="15.75" thickBot="1" x14ac:dyDescent="0.3">
      <c r="B36" s="8" t="s">
        <v>71</v>
      </c>
      <c r="C36" s="97" t="s">
        <v>68</v>
      </c>
      <c r="D36" s="109"/>
      <c r="F36" s="13" t="s">
        <v>70</v>
      </c>
      <c r="G36" s="102"/>
      <c r="H36" s="11"/>
      <c r="I36" s="11"/>
      <c r="J36" s="566" t="s">
        <v>69</v>
      </c>
      <c r="K36" s="567"/>
      <c r="L36" s="11"/>
      <c r="N36" s="3"/>
      <c r="O36" s="3"/>
    </row>
    <row r="37" spans="2:18" x14ac:dyDescent="0.25">
      <c r="B37" s="14" t="s">
        <v>7</v>
      </c>
      <c r="C37" s="35">
        <v>800000</v>
      </c>
      <c r="D37" s="11"/>
      <c r="F37" s="32" t="s">
        <v>27</v>
      </c>
      <c r="G37" s="103"/>
      <c r="H37" s="51">
        <f>L32</f>
        <v>87914066.140000015</v>
      </c>
      <c r="I37" s="11"/>
      <c r="J37" s="569" t="s">
        <v>28</v>
      </c>
      <c r="K37" s="570"/>
      <c r="L37" s="42">
        <v>95144274</v>
      </c>
      <c r="M37" s="15"/>
      <c r="N37" s="3"/>
    </row>
    <row r="38" spans="2:18" ht="15.75" thickBot="1" x14ac:dyDescent="0.3">
      <c r="B38" s="16" t="s">
        <v>63</v>
      </c>
      <c r="C38" s="35">
        <v>200000</v>
      </c>
      <c r="D38" s="11"/>
      <c r="F38" s="17" t="s">
        <v>41</v>
      </c>
      <c r="G38" s="104"/>
      <c r="H38" s="44">
        <f>C40</f>
        <v>3000000</v>
      </c>
      <c r="I38" s="11"/>
      <c r="J38" s="571" t="s">
        <v>59</v>
      </c>
      <c r="K38" s="572"/>
      <c r="L38" s="44">
        <v>16000000</v>
      </c>
      <c r="N38" s="18"/>
      <c r="O38" s="3"/>
    </row>
    <row r="39" spans="2:18" ht="15.75" thickBot="1" x14ac:dyDescent="0.3">
      <c r="B39" s="16" t="s">
        <v>9</v>
      </c>
      <c r="C39" s="35">
        <v>2000000</v>
      </c>
      <c r="D39" s="11"/>
      <c r="F39" s="105" t="s">
        <v>320</v>
      </c>
      <c r="G39" s="106"/>
      <c r="H39" s="107">
        <v>20230208</v>
      </c>
      <c r="J39" s="566" t="s">
        <v>11</v>
      </c>
      <c r="K39" s="568"/>
      <c r="L39" s="43">
        <f>L37+L38</f>
        <v>111144274</v>
      </c>
      <c r="N39" s="3"/>
    </row>
    <row r="40" spans="2:18" ht="15.75" thickBot="1" x14ac:dyDescent="0.3">
      <c r="B40" s="19" t="s">
        <v>10</v>
      </c>
      <c r="C40" s="36">
        <f>SUM(C37:C39)</f>
        <v>3000000</v>
      </c>
      <c r="D40" s="27"/>
      <c r="F40" s="105" t="s">
        <v>11</v>
      </c>
      <c r="G40" s="106"/>
      <c r="H40" s="108">
        <f>H37+H38+H39</f>
        <v>111144274.14000002</v>
      </c>
      <c r="I40" s="27"/>
      <c r="L40" s="27"/>
      <c r="N40" s="3"/>
    </row>
    <row r="41" spans="2:18" ht="105.75" customHeight="1" x14ac:dyDescent="0.25">
      <c r="F41" s="573" t="s">
        <v>86</v>
      </c>
      <c r="G41" s="573"/>
      <c r="H41" s="573"/>
      <c r="J41" s="562"/>
      <c r="K41" s="562"/>
      <c r="L41" s="4"/>
      <c r="N41" s="3"/>
    </row>
    <row r="42" spans="2:18" ht="9.75" customHeight="1" x14ac:dyDescent="0.25">
      <c r="F42" s="68"/>
      <c r="G42" s="68"/>
      <c r="H42" s="68"/>
      <c r="J42" s="68"/>
      <c r="K42" s="68"/>
      <c r="L42" s="4"/>
      <c r="N42" s="3"/>
    </row>
    <row r="43" spans="2:18" ht="141" customHeight="1" x14ac:dyDescent="0.25">
      <c r="F43" s="563" t="s">
        <v>115</v>
      </c>
      <c r="G43" s="563"/>
      <c r="H43" s="563"/>
      <c r="N43" s="3"/>
    </row>
  </sheetData>
  <mergeCells count="8">
    <mergeCell ref="F43:H43"/>
    <mergeCell ref="B4:C4"/>
    <mergeCell ref="J41:K41"/>
    <mergeCell ref="J36:K36"/>
    <mergeCell ref="J39:K39"/>
    <mergeCell ref="J37:K37"/>
    <mergeCell ref="J38:K38"/>
    <mergeCell ref="F41:H41"/>
  </mergeCells>
  <pageMargins left="0.25" right="0.25" top="0.75" bottom="0.75" header="0.3" footer="0.3"/>
  <pageSetup paperSize="9" scale="91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topLeftCell="B16" workbookViewId="0">
      <pane xSplit="1" topLeftCell="C1" activePane="topRight" state="frozen"/>
      <selection activeCell="B1" sqref="B1"/>
      <selection pane="topRight" activeCell="C33" sqref="C33"/>
    </sheetView>
  </sheetViews>
  <sheetFormatPr defaultRowHeight="15" x14ac:dyDescent="0.25"/>
  <cols>
    <col min="1" max="1" width="0" hidden="1" customWidth="1"/>
    <col min="2" max="2" width="35.7109375" customWidth="1"/>
    <col min="3" max="3" width="13.7109375" customWidth="1"/>
    <col min="4" max="4" width="11.7109375" customWidth="1"/>
    <col min="5" max="5" width="13.7109375" customWidth="1"/>
    <col min="6" max="6" width="13" customWidth="1"/>
    <col min="7" max="7" width="11.5703125" customWidth="1"/>
    <col min="8" max="8" width="11.85546875" customWidth="1"/>
    <col min="9" max="9" width="15" style="4" hidden="1" customWidth="1"/>
    <col min="10" max="10" width="14.85546875" style="4" hidden="1" customWidth="1"/>
    <col min="11" max="11" width="17.28515625" hidden="1" customWidth="1"/>
    <col min="12" max="12" width="40" customWidth="1"/>
    <col min="13" max="13" width="14.5703125" customWidth="1"/>
    <col min="14" max="14" width="8" customWidth="1"/>
    <col min="15" max="15" width="7.42578125" customWidth="1"/>
    <col min="16" max="16" width="15.140625" customWidth="1"/>
    <col min="19" max="19" width="16" bestFit="1" customWidth="1"/>
    <col min="20" max="20" width="15.140625" customWidth="1"/>
  </cols>
  <sheetData>
    <row r="1" spans="2:12" ht="15" customHeight="1" x14ac:dyDescent="0.4">
      <c r="B1" s="66"/>
      <c r="C1" s="66"/>
      <c r="D1" s="66"/>
      <c r="E1" s="66"/>
      <c r="F1" s="66"/>
      <c r="G1" s="66"/>
      <c r="H1" s="66"/>
      <c r="K1" s="4"/>
    </row>
    <row r="2" spans="2:12" ht="21" x14ac:dyDescent="0.35">
      <c r="B2" s="53" t="s">
        <v>72</v>
      </c>
      <c r="C2" s="53"/>
      <c r="D2" s="53"/>
      <c r="E2" s="53"/>
      <c r="F2" s="53"/>
      <c r="G2" s="53"/>
      <c r="H2" s="53"/>
    </row>
    <row r="3" spans="2:12" ht="11.25" customHeight="1" thickBot="1" x14ac:dyDescent="0.45">
      <c r="B3" s="53"/>
      <c r="C3" s="53"/>
      <c r="D3" s="53"/>
      <c r="E3" s="53"/>
      <c r="F3" s="53"/>
      <c r="G3" s="53"/>
      <c r="H3" s="53"/>
    </row>
    <row r="4" spans="2:12" s="80" customFormat="1" ht="45.75" thickBot="1" x14ac:dyDescent="0.35">
      <c r="B4" s="564" t="s">
        <v>73</v>
      </c>
      <c r="C4" s="565"/>
      <c r="D4" s="86" t="s">
        <v>74</v>
      </c>
      <c r="E4" s="451" t="s">
        <v>249</v>
      </c>
      <c r="F4" s="452" t="s">
        <v>250</v>
      </c>
      <c r="G4" s="505" t="s">
        <v>251</v>
      </c>
      <c r="H4" s="506" t="s">
        <v>252</v>
      </c>
      <c r="I4" s="87" t="s">
        <v>91</v>
      </c>
      <c r="J4" s="87" t="s">
        <v>92</v>
      </c>
      <c r="K4" s="542" t="s">
        <v>103</v>
      </c>
      <c r="L4" s="110" t="s">
        <v>315</v>
      </c>
    </row>
    <row r="5" spans="2:12" x14ac:dyDescent="0.25">
      <c r="B5" s="76" t="s">
        <v>6</v>
      </c>
      <c r="C5" s="82">
        <v>3900</v>
      </c>
      <c r="D5" s="488">
        <v>11048882</v>
      </c>
      <c r="E5" s="465">
        <v>9950000</v>
      </c>
      <c r="F5" s="453">
        <f>D5-E5</f>
        <v>1098882</v>
      </c>
      <c r="G5" s="71">
        <v>160000</v>
      </c>
      <c r="H5" s="71">
        <v>938882</v>
      </c>
      <c r="I5" s="11" t="e">
        <f>#REF!-J5</f>
        <v>#REF!</v>
      </c>
      <c r="J5" s="11">
        <f>D5*0.18</f>
        <v>1988798.76</v>
      </c>
      <c r="K5" s="11">
        <v>10308459</v>
      </c>
      <c r="L5" s="543" t="s">
        <v>313</v>
      </c>
    </row>
    <row r="6" spans="2:12" x14ac:dyDescent="0.25">
      <c r="B6" s="77" t="s">
        <v>65</v>
      </c>
      <c r="C6" s="83">
        <v>3923</v>
      </c>
      <c r="D6" s="489">
        <v>1089071</v>
      </c>
      <c r="E6" s="466">
        <v>959421</v>
      </c>
      <c r="F6" s="453">
        <f t="shared" ref="F6:F13" si="0">D6-E6</f>
        <v>129650</v>
      </c>
      <c r="G6" s="72">
        <v>129650</v>
      </c>
      <c r="H6" s="72">
        <v>0</v>
      </c>
      <c r="I6" s="11" t="e">
        <f>#REF!-J6</f>
        <v>#REF!</v>
      </c>
      <c r="J6" s="11" t="e">
        <f>(D6*0.18)+(#REF!*0.18)</f>
        <v>#REF!</v>
      </c>
      <c r="K6" s="11">
        <v>1360375</v>
      </c>
      <c r="L6" s="544"/>
    </row>
    <row r="7" spans="2:12" x14ac:dyDescent="0.25">
      <c r="B7" s="77" t="s">
        <v>14</v>
      </c>
      <c r="C7" s="77">
        <v>3901</v>
      </c>
      <c r="D7" s="489">
        <v>3976212</v>
      </c>
      <c r="E7" s="466">
        <v>3687800</v>
      </c>
      <c r="F7" s="453">
        <f t="shared" si="0"/>
        <v>288412</v>
      </c>
      <c r="G7" s="72">
        <v>198412</v>
      </c>
      <c r="H7" s="72">
        <v>90000</v>
      </c>
      <c r="I7" s="11" t="e">
        <f>#REF!-J7</f>
        <v>#REF!</v>
      </c>
      <c r="J7" s="11" t="e">
        <f>D7*0.18+#REF!*0.18</f>
        <v>#REF!</v>
      </c>
      <c r="K7" s="11">
        <v>3793800</v>
      </c>
      <c r="L7" s="544" t="s">
        <v>304</v>
      </c>
    </row>
    <row r="8" spans="2:12" x14ac:dyDescent="0.25">
      <c r="B8" s="77" t="s">
        <v>15</v>
      </c>
      <c r="C8" s="77">
        <v>3903</v>
      </c>
      <c r="D8" s="489">
        <v>3361826</v>
      </c>
      <c r="E8" s="466">
        <v>2975360</v>
      </c>
      <c r="F8" s="453">
        <f t="shared" si="0"/>
        <v>386466</v>
      </c>
      <c r="G8" s="72">
        <v>185000</v>
      </c>
      <c r="H8" s="72">
        <v>201466</v>
      </c>
      <c r="I8" s="11" t="e">
        <f>#REF!-J8</f>
        <v>#REF!</v>
      </c>
      <c r="J8" s="11" t="e">
        <f>D8*0.18+#REF!*0.18</f>
        <v>#REF!</v>
      </c>
      <c r="K8" s="11">
        <v>3158360</v>
      </c>
      <c r="L8" s="545" t="s">
        <v>305</v>
      </c>
    </row>
    <row r="9" spans="2:12" x14ac:dyDescent="0.25">
      <c r="B9" s="77" t="s">
        <v>16</v>
      </c>
      <c r="C9" s="77">
        <v>3904</v>
      </c>
      <c r="D9" s="489">
        <v>1457771</v>
      </c>
      <c r="E9" s="466">
        <v>659000</v>
      </c>
      <c r="F9" s="453">
        <f t="shared" si="0"/>
        <v>798771</v>
      </c>
      <c r="G9" s="72">
        <v>90000</v>
      </c>
      <c r="H9" s="72">
        <v>708771</v>
      </c>
      <c r="I9" s="11" t="e">
        <f>#REF!-J9</f>
        <v>#REF!</v>
      </c>
      <c r="J9" s="11" t="e">
        <f>#REF!</f>
        <v>#REF!</v>
      </c>
      <c r="K9" s="11">
        <v>687000</v>
      </c>
      <c r="L9" s="545" t="s">
        <v>306</v>
      </c>
    </row>
    <row r="10" spans="2:12" x14ac:dyDescent="0.25">
      <c r="B10" s="77" t="s">
        <v>17</v>
      </c>
      <c r="C10" s="77">
        <v>3905</v>
      </c>
      <c r="D10" s="496">
        <v>1214474</v>
      </c>
      <c r="E10" s="467">
        <v>1117862</v>
      </c>
      <c r="F10" s="453">
        <f t="shared" si="0"/>
        <v>96612</v>
      </c>
      <c r="G10" s="72">
        <v>96612</v>
      </c>
      <c r="H10" s="72">
        <v>0</v>
      </c>
      <c r="I10" s="11" t="e">
        <f>#REF!-J10</f>
        <v>#REF!</v>
      </c>
      <c r="J10" s="11">
        <v>300000</v>
      </c>
      <c r="K10" s="11">
        <v>1216062</v>
      </c>
      <c r="L10" s="545"/>
    </row>
    <row r="11" spans="2:12" x14ac:dyDescent="0.25">
      <c r="B11" s="77" t="s">
        <v>18</v>
      </c>
      <c r="C11" s="77">
        <v>3906</v>
      </c>
      <c r="D11" s="489">
        <v>1591860</v>
      </c>
      <c r="E11" s="466">
        <v>1612804</v>
      </c>
      <c r="F11" s="453">
        <f t="shared" si="0"/>
        <v>-20944</v>
      </c>
      <c r="G11" s="72">
        <v>0</v>
      </c>
      <c r="H11" s="72">
        <v>-20944</v>
      </c>
      <c r="I11" s="11" t="e">
        <f>#REF!-J11</f>
        <v>#REF!</v>
      </c>
      <c r="J11" s="11" t="e">
        <f>D11*0.18+#REF!*0.18</f>
        <v>#REF!</v>
      </c>
      <c r="K11" s="11">
        <v>2083804</v>
      </c>
      <c r="L11" s="545"/>
    </row>
    <row r="12" spans="2:12" x14ac:dyDescent="0.25">
      <c r="B12" s="77" t="s">
        <v>19</v>
      </c>
      <c r="C12" s="77">
        <v>3907</v>
      </c>
      <c r="D12" s="489">
        <v>4641508</v>
      </c>
      <c r="E12" s="466">
        <v>4510684</v>
      </c>
      <c r="F12" s="453">
        <f t="shared" si="0"/>
        <v>130824</v>
      </c>
      <c r="G12" s="72">
        <v>130824</v>
      </c>
      <c r="H12" s="72">
        <v>0</v>
      </c>
      <c r="I12" s="11" t="e">
        <f>#REF!-J12</f>
        <v>#REF!</v>
      </c>
      <c r="J12" s="11">
        <v>0</v>
      </c>
      <c r="K12" s="11">
        <v>4986184</v>
      </c>
      <c r="L12" s="545"/>
    </row>
    <row r="13" spans="2:12" ht="15.75" thickBot="1" x14ac:dyDescent="0.3">
      <c r="B13" s="77" t="s">
        <v>20</v>
      </c>
      <c r="C13" s="77">
        <v>3908</v>
      </c>
      <c r="D13" s="489">
        <v>2186489</v>
      </c>
      <c r="E13" s="468">
        <v>2679044</v>
      </c>
      <c r="F13" s="454">
        <f t="shared" si="0"/>
        <v>-492555</v>
      </c>
      <c r="G13" s="74">
        <v>0</v>
      </c>
      <c r="H13" s="74">
        <v>-492555</v>
      </c>
      <c r="I13" s="11" t="e">
        <f>#REF!-J13</f>
        <v>#REF!</v>
      </c>
      <c r="J13" s="11">
        <f>D13*0.18</f>
        <v>393568.01999999996</v>
      </c>
      <c r="K13" s="11">
        <v>2977044</v>
      </c>
      <c r="L13" s="547" t="s">
        <v>307</v>
      </c>
    </row>
    <row r="14" spans="2:12" x14ac:dyDescent="0.25">
      <c r="B14" s="78" t="s">
        <v>83</v>
      </c>
      <c r="C14" s="84" t="s">
        <v>84</v>
      </c>
      <c r="D14" s="490">
        <f t="shared" ref="D14:H14" si="1">SUM(D15:D17)</f>
        <v>3970086</v>
      </c>
      <c r="E14" s="469">
        <f t="shared" si="1"/>
        <v>3412075</v>
      </c>
      <c r="F14" s="455">
        <f t="shared" si="1"/>
        <v>558011</v>
      </c>
      <c r="G14" s="75">
        <f t="shared" si="1"/>
        <v>290000</v>
      </c>
      <c r="H14" s="75">
        <f t="shared" si="1"/>
        <v>268011</v>
      </c>
      <c r="I14" s="11" t="e">
        <f>I15+I16+I17</f>
        <v>#REF!</v>
      </c>
      <c r="J14" s="11" t="e">
        <f>J15+J16+J17</f>
        <v>#REF!</v>
      </c>
      <c r="K14" s="11">
        <v>9218044</v>
      </c>
      <c r="L14" s="548" t="s">
        <v>308</v>
      </c>
    </row>
    <row r="15" spans="2:12" x14ac:dyDescent="0.25">
      <c r="B15" s="88" t="s">
        <v>78</v>
      </c>
      <c r="C15" s="89">
        <v>3911</v>
      </c>
      <c r="D15" s="491">
        <v>3970086</v>
      </c>
      <c r="E15" s="470">
        <v>3412075</v>
      </c>
      <c r="F15" s="456">
        <f>D15-E15</f>
        <v>558011</v>
      </c>
      <c r="G15" s="91">
        <v>290000</v>
      </c>
      <c r="H15" s="91">
        <v>268011</v>
      </c>
      <c r="I15" s="114" t="e">
        <f>#REF!-J15</f>
        <v>#REF!</v>
      </c>
      <c r="J15" s="11" t="e">
        <f>#REF!*0.18</f>
        <v>#REF!</v>
      </c>
      <c r="K15" s="11"/>
      <c r="L15" s="545"/>
    </row>
    <row r="16" spans="2:12" x14ac:dyDescent="0.25">
      <c r="B16" s="88" t="s">
        <v>79</v>
      </c>
      <c r="C16" s="89">
        <v>3913</v>
      </c>
      <c r="D16" s="491">
        <v>0</v>
      </c>
      <c r="E16" s="470">
        <v>0</v>
      </c>
      <c r="F16" s="456">
        <v>0</v>
      </c>
      <c r="G16" s="91">
        <v>0</v>
      </c>
      <c r="H16" s="91">
        <v>0</v>
      </c>
      <c r="I16" s="114" t="e">
        <f>#REF!-J16</f>
        <v>#REF!</v>
      </c>
      <c r="J16" s="11" t="e">
        <f>#REF!*0.18</f>
        <v>#REF!</v>
      </c>
      <c r="K16" s="11"/>
      <c r="L16" s="545"/>
    </row>
    <row r="17" spans="2:12" ht="15.75" thickBot="1" x14ac:dyDescent="0.3">
      <c r="B17" s="92" t="s">
        <v>80</v>
      </c>
      <c r="C17" s="93">
        <v>3940</v>
      </c>
      <c r="D17" s="492">
        <v>0</v>
      </c>
      <c r="E17" s="471">
        <v>0</v>
      </c>
      <c r="F17" s="457">
        <v>0</v>
      </c>
      <c r="G17" s="95">
        <v>0</v>
      </c>
      <c r="H17" s="95">
        <v>0</v>
      </c>
      <c r="I17" s="114" t="e">
        <f>#REF!-J17</f>
        <v>#REF!</v>
      </c>
      <c r="J17" s="114">
        <v>0</v>
      </c>
      <c r="K17" s="11"/>
      <c r="L17" s="547"/>
    </row>
    <row r="18" spans="2:12" x14ac:dyDescent="0.25">
      <c r="B18" s="78" t="s">
        <v>76</v>
      </c>
      <c r="C18" s="85" t="s">
        <v>85</v>
      </c>
      <c r="D18" s="490">
        <f>SUM(D19:D21)</f>
        <v>7851345.2300000004</v>
      </c>
      <c r="E18" s="469">
        <v>7066746</v>
      </c>
      <c r="F18" s="455">
        <v>784599</v>
      </c>
      <c r="G18" s="75">
        <f t="shared" ref="G18" si="2">SUM(G19:G21)</f>
        <v>631000</v>
      </c>
      <c r="H18" s="75">
        <f>SUM(H19:H21)</f>
        <v>153599</v>
      </c>
      <c r="I18" s="11" t="e">
        <f>I19+I20+I21</f>
        <v>#REF!</v>
      </c>
      <c r="J18" s="11" t="e">
        <f>J19+J20+J21</f>
        <v>#REF!</v>
      </c>
      <c r="K18" s="11">
        <v>9223746</v>
      </c>
      <c r="L18" s="548" t="s">
        <v>309</v>
      </c>
    </row>
    <row r="19" spans="2:12" x14ac:dyDescent="0.25">
      <c r="B19" s="88" t="s">
        <v>77</v>
      </c>
      <c r="C19" s="89">
        <v>3916</v>
      </c>
      <c r="D19" s="491">
        <v>6091811.7300000004</v>
      </c>
      <c r="E19" s="470"/>
      <c r="F19" s="456"/>
      <c r="G19" s="91">
        <v>334000</v>
      </c>
      <c r="H19" s="91">
        <v>153599</v>
      </c>
      <c r="I19" s="539" t="e">
        <f>#REF!-J19</f>
        <v>#REF!</v>
      </c>
      <c r="J19" s="11" t="e">
        <f>#REF!*0.18</f>
        <v>#REF!</v>
      </c>
      <c r="K19" s="11"/>
      <c r="L19" s="545"/>
    </row>
    <row r="20" spans="2:12" ht="14.45" x14ac:dyDescent="0.3">
      <c r="B20" s="88" t="s">
        <v>81</v>
      </c>
      <c r="C20" s="89">
        <v>3914</v>
      </c>
      <c r="D20" s="491">
        <v>1111280</v>
      </c>
      <c r="E20" s="470">
        <v>0</v>
      </c>
      <c r="F20" s="456"/>
      <c r="G20" s="91">
        <v>223000</v>
      </c>
      <c r="H20" s="91">
        <v>0</v>
      </c>
      <c r="I20" s="539" t="e">
        <f>#REF!-J20</f>
        <v>#REF!</v>
      </c>
      <c r="J20" s="11" t="e">
        <f>#REF!*0.18</f>
        <v>#REF!</v>
      </c>
      <c r="K20" s="11"/>
      <c r="L20" s="545"/>
    </row>
    <row r="21" spans="2:12" ht="15.75" thickBot="1" x14ac:dyDescent="0.3">
      <c r="B21" s="92" t="s">
        <v>82</v>
      </c>
      <c r="C21" s="96">
        <v>3941</v>
      </c>
      <c r="D21" s="492">
        <v>648253.5</v>
      </c>
      <c r="E21" s="471">
        <v>0</v>
      </c>
      <c r="F21" s="457"/>
      <c r="G21" s="95">
        <v>74000</v>
      </c>
      <c r="H21" s="95">
        <v>0</v>
      </c>
      <c r="I21" s="539" t="e">
        <f>#REF!-J21</f>
        <v>#REF!</v>
      </c>
      <c r="J21" s="539">
        <v>0</v>
      </c>
      <c r="K21" s="11"/>
      <c r="L21" s="545"/>
    </row>
    <row r="22" spans="2:12" ht="15.75" thickBot="1" x14ac:dyDescent="0.3">
      <c r="B22" s="98" t="s">
        <v>53</v>
      </c>
      <c r="C22" s="99">
        <v>3912</v>
      </c>
      <c r="D22" s="493">
        <v>4631824</v>
      </c>
      <c r="E22" s="472">
        <v>3810000</v>
      </c>
      <c r="F22" s="458">
        <f t="shared" ref="F22:F28" si="3">D22-E22</f>
        <v>821824</v>
      </c>
      <c r="G22" s="101">
        <v>245824</v>
      </c>
      <c r="H22" s="101">
        <v>576000</v>
      </c>
      <c r="I22" s="11" t="e">
        <f>#REF!-J22</f>
        <v>#REF!</v>
      </c>
      <c r="J22" s="11" t="e">
        <f>D22*0.18+(#REF!+#REF!+#REF!)*0.3</f>
        <v>#REF!</v>
      </c>
      <c r="K22" s="11">
        <v>6527302</v>
      </c>
      <c r="L22" s="549" t="s">
        <v>306</v>
      </c>
    </row>
    <row r="23" spans="2:12" ht="15.75" thickBot="1" x14ac:dyDescent="0.3">
      <c r="B23" s="98" t="s">
        <v>54</v>
      </c>
      <c r="C23" s="99">
        <v>3919</v>
      </c>
      <c r="D23" s="493">
        <v>4193249.68</v>
      </c>
      <c r="E23" s="472">
        <v>3327000</v>
      </c>
      <c r="F23" s="458">
        <f t="shared" si="3"/>
        <v>866249.68000000017</v>
      </c>
      <c r="G23" s="101">
        <v>531000</v>
      </c>
      <c r="H23" s="101">
        <v>335250</v>
      </c>
      <c r="I23" s="11" t="e">
        <f>#REF!-J23</f>
        <v>#REF!</v>
      </c>
      <c r="J23" s="11" t="e">
        <f>#REF!*0.18</f>
        <v>#REF!</v>
      </c>
      <c r="K23" s="11">
        <v>5021000</v>
      </c>
      <c r="L23" s="549" t="s">
        <v>305</v>
      </c>
    </row>
    <row r="24" spans="2:12" ht="15.75" thickBot="1" x14ac:dyDescent="0.3">
      <c r="B24" s="77" t="s">
        <v>24</v>
      </c>
      <c r="C24" s="77">
        <v>3918</v>
      </c>
      <c r="D24" s="489">
        <v>1610183.2</v>
      </c>
      <c r="E24" s="473">
        <v>1060000</v>
      </c>
      <c r="F24" s="459">
        <f t="shared" si="3"/>
        <v>550183.19999999995</v>
      </c>
      <c r="G24" s="64">
        <v>76183</v>
      </c>
      <c r="H24" s="64">
        <v>474000</v>
      </c>
      <c r="I24" s="11" t="e">
        <f>#REF!-J24</f>
        <v>#REF!</v>
      </c>
      <c r="J24" s="11" t="e">
        <f>#REF!*0.18</f>
        <v>#REF!</v>
      </c>
      <c r="K24" s="11">
        <v>1377722</v>
      </c>
      <c r="L24" s="549" t="s">
        <v>310</v>
      </c>
    </row>
    <row r="25" spans="2:12" thickBot="1" x14ac:dyDescent="0.35">
      <c r="B25" s="98" t="s">
        <v>31</v>
      </c>
      <c r="C25" s="99">
        <v>3921</v>
      </c>
      <c r="D25" s="493">
        <v>0</v>
      </c>
      <c r="E25" s="472">
        <v>0</v>
      </c>
      <c r="F25" s="458">
        <f t="shared" si="3"/>
        <v>0</v>
      </c>
      <c r="G25" s="101">
        <v>0</v>
      </c>
      <c r="H25" s="101">
        <v>0</v>
      </c>
      <c r="I25" s="11" t="e">
        <f>#REF!-J25</f>
        <v>#REF!</v>
      </c>
      <c r="J25" s="11">
        <v>0</v>
      </c>
      <c r="K25" s="11">
        <v>3800000</v>
      </c>
      <c r="L25" s="549"/>
    </row>
    <row r="26" spans="2:12" thickBot="1" x14ac:dyDescent="0.35">
      <c r="B26" s="98" t="s">
        <v>32</v>
      </c>
      <c r="C26" s="99">
        <v>3922</v>
      </c>
      <c r="D26" s="493">
        <v>0</v>
      </c>
      <c r="E26" s="472">
        <v>0</v>
      </c>
      <c r="F26" s="458">
        <f t="shared" si="3"/>
        <v>0</v>
      </c>
      <c r="G26" s="101">
        <v>0</v>
      </c>
      <c r="H26" s="101">
        <v>0</v>
      </c>
      <c r="I26" s="11" t="e">
        <f>#REF!-J26</f>
        <v>#REF!</v>
      </c>
      <c r="J26" s="11">
        <v>0</v>
      </c>
      <c r="K26" s="11">
        <v>2800000</v>
      </c>
      <c r="L26" s="549"/>
    </row>
    <row r="27" spans="2:12" x14ac:dyDescent="0.25">
      <c r="B27" s="77" t="s">
        <v>22</v>
      </c>
      <c r="C27" s="77">
        <v>3915</v>
      </c>
      <c r="D27" s="489">
        <v>828855</v>
      </c>
      <c r="E27" s="473">
        <v>672689</v>
      </c>
      <c r="F27" s="459">
        <f t="shared" si="3"/>
        <v>156166</v>
      </c>
      <c r="G27" s="64">
        <v>156166</v>
      </c>
      <c r="H27" s="64">
        <v>0</v>
      </c>
      <c r="I27" s="11" t="e">
        <f>#REF!-J27</f>
        <v>#REF!</v>
      </c>
      <c r="J27" s="11">
        <v>0</v>
      </c>
      <c r="K27" s="11">
        <v>820063</v>
      </c>
      <c r="L27" s="545"/>
    </row>
    <row r="28" spans="2:12" x14ac:dyDescent="0.25">
      <c r="B28" s="77" t="s">
        <v>23</v>
      </c>
      <c r="C28" s="77">
        <v>3917</v>
      </c>
      <c r="D28" s="489">
        <v>171611</v>
      </c>
      <c r="E28" s="473">
        <v>20000</v>
      </c>
      <c r="F28" s="459">
        <f t="shared" si="3"/>
        <v>151611</v>
      </c>
      <c r="G28" s="64"/>
      <c r="H28" s="64">
        <v>151611</v>
      </c>
      <c r="I28" s="11" t="e">
        <f>#REF!-J28</f>
        <v>#REF!</v>
      </c>
      <c r="J28" s="11">
        <v>0</v>
      </c>
      <c r="K28" s="11">
        <v>330000</v>
      </c>
      <c r="L28" s="545" t="s">
        <v>311</v>
      </c>
    </row>
    <row r="29" spans="2:12" ht="14.45" x14ac:dyDescent="0.3">
      <c r="B29" s="77" t="s">
        <v>35</v>
      </c>
      <c r="C29" s="77">
        <v>3740</v>
      </c>
      <c r="D29" s="489">
        <v>4324848</v>
      </c>
      <c r="E29" s="473">
        <v>3802470</v>
      </c>
      <c r="F29" s="459">
        <f t="shared" ref="F29:F31" si="4">D29-E29</f>
        <v>522378</v>
      </c>
      <c r="G29" s="64">
        <v>522378</v>
      </c>
      <c r="H29" s="64">
        <v>0</v>
      </c>
      <c r="I29" s="11" t="e">
        <f>#REF!-J29</f>
        <v>#REF!</v>
      </c>
      <c r="J29" s="11">
        <v>0</v>
      </c>
      <c r="K29" s="11">
        <v>4419105</v>
      </c>
      <c r="L29" s="545"/>
    </row>
    <row r="30" spans="2:12" x14ac:dyDescent="0.25">
      <c r="B30" s="77" t="s">
        <v>25</v>
      </c>
      <c r="C30" s="77">
        <v>3960</v>
      </c>
      <c r="D30" s="489">
        <v>1558491</v>
      </c>
      <c r="E30" s="473">
        <v>1430000</v>
      </c>
      <c r="F30" s="459">
        <f t="shared" si="4"/>
        <v>128491</v>
      </c>
      <c r="G30" s="64">
        <v>40000</v>
      </c>
      <c r="H30" s="64">
        <v>88491</v>
      </c>
      <c r="I30" s="11" t="e">
        <f>#REF!-J30</f>
        <v>#REF!</v>
      </c>
      <c r="J30" s="11">
        <v>0</v>
      </c>
      <c r="K30" s="11">
        <v>1555000</v>
      </c>
      <c r="L30" s="545" t="s">
        <v>312</v>
      </c>
    </row>
    <row r="31" spans="2:12" ht="15.75" thickBot="1" x14ac:dyDescent="0.3">
      <c r="B31" s="77" t="s">
        <v>26</v>
      </c>
      <c r="C31" s="77">
        <v>3210</v>
      </c>
      <c r="D31" s="489">
        <v>3259150</v>
      </c>
      <c r="E31" s="473">
        <v>3061983</v>
      </c>
      <c r="F31" s="459">
        <f t="shared" si="4"/>
        <v>197167</v>
      </c>
      <c r="G31" s="64">
        <v>197167</v>
      </c>
      <c r="H31" s="64">
        <v>0</v>
      </c>
      <c r="I31" s="11" t="e">
        <f>#REF!-J31</f>
        <v>#REF!</v>
      </c>
      <c r="J31" s="11">
        <v>0</v>
      </c>
      <c r="K31" s="11">
        <v>3201983</v>
      </c>
      <c r="L31" s="545"/>
    </row>
    <row r="32" spans="2:12" ht="15.75" thickBot="1" x14ac:dyDescent="0.3">
      <c r="B32" s="69" t="s">
        <v>75</v>
      </c>
      <c r="C32" s="69"/>
      <c r="D32" s="495">
        <f t="shared" ref="D32:H32" si="5">SUM(D5:D31)-D15-D16-D17-D19-D20-D21</f>
        <v>62967736.109999999</v>
      </c>
      <c r="E32" s="475">
        <f t="shared" si="5"/>
        <v>55814938</v>
      </c>
      <c r="F32" s="460">
        <f t="shared" si="5"/>
        <v>7152797.8799999999</v>
      </c>
      <c r="G32" s="36">
        <f t="shared" si="5"/>
        <v>3680216</v>
      </c>
      <c r="H32" s="36">
        <f t="shared" si="5"/>
        <v>3472582</v>
      </c>
      <c r="I32" s="540" t="e">
        <f>I5+I6+I7+I8+I9+I10+I11+I12+I13+I14+I18+I22+I23+I24+I25+I26+I27+I28+I29+I30+I31</f>
        <v>#REF!</v>
      </c>
      <c r="J32" s="540" t="e">
        <f>J5+J6+J7+J8+J9+J10+J11+J12+J13+J14+J18+J22+J23+J24+J25+J26+J27+J28+J29+J30+J31</f>
        <v>#REF!</v>
      </c>
      <c r="K32" s="541">
        <f>K5+K6+K7+K8+K9+K10+K11+K12+K13+K14+K18+K22+K23+K24+K25+K26+K27+++K28+++++++++K29+K30+K31</f>
        <v>78865053</v>
      </c>
      <c r="L32" s="546" t="s">
        <v>314</v>
      </c>
    </row>
    <row r="33" spans="2:16" x14ac:dyDescent="0.25">
      <c r="B33" s="70"/>
      <c r="C33" s="73"/>
      <c r="F33" s="50"/>
      <c r="I33" s="7"/>
      <c r="J33" s="112" t="e">
        <f>I32+J32</f>
        <v>#REF!</v>
      </c>
    </row>
    <row r="34" spans="2:16" x14ac:dyDescent="0.25">
      <c r="D34" s="61"/>
      <c r="E34" s="61"/>
      <c r="F34" s="61"/>
      <c r="G34" s="61"/>
      <c r="H34" s="61"/>
      <c r="I34" s="31"/>
      <c r="J34" s="31"/>
      <c r="K34" s="6"/>
      <c r="L34" s="5"/>
      <c r="M34" s="7"/>
      <c r="N34" s="7"/>
      <c r="O34" s="7"/>
      <c r="P34" s="7"/>
    </row>
    <row r="35" spans="2:16" ht="14.45" hidden="1" x14ac:dyDescent="0.3">
      <c r="D35" s="6"/>
      <c r="E35" s="6"/>
      <c r="F35" s="6"/>
      <c r="G35" s="6"/>
      <c r="H35" s="6"/>
      <c r="I35" s="31"/>
      <c r="J35" s="31"/>
      <c r="K35" s="6"/>
      <c r="L35" s="5"/>
      <c r="M35" s="7"/>
      <c r="N35" s="7"/>
      <c r="O35" s="7"/>
      <c r="P35" s="7"/>
    </row>
    <row r="36" spans="2:16" ht="15" hidden="1" customHeight="1" thickBot="1" x14ac:dyDescent="0.35">
      <c r="B36" s="8" t="s">
        <v>71</v>
      </c>
      <c r="C36" s="97" t="s">
        <v>68</v>
      </c>
      <c r="M36" s="3"/>
    </row>
    <row r="37" spans="2:16" ht="14.45" hidden="1" customHeight="1" x14ac:dyDescent="0.3">
      <c r="B37" s="14" t="s">
        <v>7</v>
      </c>
      <c r="C37" s="35">
        <v>800000</v>
      </c>
      <c r="L37" s="15"/>
    </row>
    <row r="38" spans="2:16" ht="15" hidden="1" customHeight="1" thickBot="1" x14ac:dyDescent="0.3">
      <c r="B38" s="16" t="s">
        <v>63</v>
      </c>
      <c r="C38" s="35">
        <v>200000</v>
      </c>
      <c r="M38" s="3"/>
    </row>
    <row r="39" spans="2:16" ht="15" hidden="1" customHeight="1" thickBot="1" x14ac:dyDescent="0.3">
      <c r="B39" s="16" t="s">
        <v>9</v>
      </c>
      <c r="C39" s="35">
        <v>2000000</v>
      </c>
    </row>
    <row r="40" spans="2:16" hidden="1" thickBot="1" x14ac:dyDescent="0.35">
      <c r="B40" s="19" t="s">
        <v>10</v>
      </c>
      <c r="C40" s="36">
        <f>SUM(C37:C39)</f>
        <v>3000000</v>
      </c>
    </row>
    <row r="41" spans="2:16" ht="105.75" hidden="1" customHeight="1" x14ac:dyDescent="0.3"/>
    <row r="42" spans="2:16" ht="12" hidden="1" customHeight="1" x14ac:dyDescent="0.3"/>
    <row r="43" spans="2:16" ht="141" hidden="1" customHeight="1" x14ac:dyDescent="0.3"/>
  </sheetData>
  <mergeCells count="1">
    <mergeCell ref="B4:C4"/>
  </mergeCells>
  <pageMargins left="0.25" right="0.25" top="0.75" bottom="0.75" header="0.3" footer="0.3"/>
  <pageSetup paperSize="9" scale="99" fitToHeight="0" orientation="landscape" r:id="rId1"/>
  <ignoredErrors>
    <ignoredError sqref="F14" formula="1"/>
    <ignoredError sqref="D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topLeftCell="B22" workbookViewId="0">
      <pane xSplit="1" topLeftCell="C1" activePane="topRight" state="frozen"/>
      <selection activeCell="B1" sqref="B1"/>
      <selection pane="topRight" activeCell="G48" sqref="G48"/>
    </sheetView>
  </sheetViews>
  <sheetFormatPr defaultRowHeight="15" x14ac:dyDescent="0.25"/>
  <cols>
    <col min="1" max="1" width="0" hidden="1" customWidth="1"/>
    <col min="2" max="2" width="35.7109375" customWidth="1"/>
    <col min="3" max="3" width="13.7109375" customWidth="1"/>
    <col min="4" max="4" width="11.7109375" customWidth="1"/>
    <col min="5" max="6" width="13.28515625" customWidth="1"/>
    <col min="7" max="7" width="11.7109375" customWidth="1"/>
    <col min="8" max="9" width="12.7109375" customWidth="1"/>
    <col min="10" max="10" width="11.7109375" hidden="1" customWidth="1"/>
    <col min="11" max="16" width="11.7109375" customWidth="1"/>
    <col min="17" max="18" width="11.7109375" hidden="1" customWidth="1"/>
    <col min="19" max="19" width="15" style="4" hidden="1" customWidth="1"/>
    <col min="20" max="20" width="14.85546875" style="4" hidden="1" customWidth="1"/>
    <col min="21" max="21" width="17.28515625" hidden="1" customWidth="1"/>
    <col min="22" max="22" width="16" customWidth="1"/>
    <col min="23" max="23" width="16.140625" customWidth="1"/>
    <col min="24" max="24" width="14.5703125" customWidth="1"/>
    <col min="25" max="25" width="8" customWidth="1"/>
    <col min="26" max="26" width="7.42578125" customWidth="1"/>
    <col min="27" max="27" width="15.140625" customWidth="1"/>
    <col min="30" max="30" width="16" bestFit="1" customWidth="1"/>
    <col min="31" max="31" width="15.140625" customWidth="1"/>
  </cols>
  <sheetData>
    <row r="1" spans="2:21" ht="15" customHeight="1" x14ac:dyDescent="0.4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U1" s="4"/>
    </row>
    <row r="2" spans="2:21" ht="21" x14ac:dyDescent="0.35">
      <c r="B2" s="53" t="s">
        <v>72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21" ht="11.25" customHeight="1" thickBot="1" x14ac:dyDescent="0.4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21" s="80" customFormat="1" ht="60.75" thickBot="1" x14ac:dyDescent="0.35">
      <c r="B4" s="564" t="s">
        <v>73</v>
      </c>
      <c r="C4" s="565"/>
      <c r="D4" s="87" t="s">
        <v>1</v>
      </c>
      <c r="E4" s="115" t="s">
        <v>253</v>
      </c>
      <c r="F4" s="450" t="s">
        <v>250</v>
      </c>
      <c r="G4" s="86" t="s">
        <v>2</v>
      </c>
      <c r="H4" s="451" t="s">
        <v>254</v>
      </c>
      <c r="I4" s="452" t="s">
        <v>250</v>
      </c>
      <c r="J4" s="86" t="s">
        <v>3</v>
      </c>
      <c r="K4" s="86" t="s">
        <v>4</v>
      </c>
      <c r="L4" s="556" t="s">
        <v>255</v>
      </c>
      <c r="M4" s="452" t="s">
        <v>250</v>
      </c>
      <c r="N4" s="87" t="s">
        <v>5</v>
      </c>
      <c r="O4" s="556" t="s">
        <v>256</v>
      </c>
      <c r="P4" s="452" t="s">
        <v>250</v>
      </c>
      <c r="Q4" s="87" t="s">
        <v>13</v>
      </c>
      <c r="R4" s="87" t="s">
        <v>101</v>
      </c>
      <c r="S4" s="87" t="s">
        <v>91</v>
      </c>
      <c r="T4" s="87" t="s">
        <v>92</v>
      </c>
      <c r="U4" s="115" t="s">
        <v>103</v>
      </c>
    </row>
    <row r="5" spans="2:21" x14ac:dyDescent="0.25">
      <c r="B5" s="76" t="s">
        <v>6</v>
      </c>
      <c r="C5" s="82">
        <v>3900</v>
      </c>
      <c r="D5" s="497">
        <v>75226</v>
      </c>
      <c r="E5" s="476">
        <v>50000</v>
      </c>
      <c r="F5" s="479">
        <f>D5-E5</f>
        <v>25226</v>
      </c>
      <c r="G5" s="488">
        <v>50000</v>
      </c>
      <c r="H5" s="465">
        <v>40000</v>
      </c>
      <c r="I5" s="481">
        <f>G5-H5</f>
        <v>10000</v>
      </c>
      <c r="J5" s="71">
        <v>0</v>
      </c>
      <c r="K5" s="488">
        <v>10000</v>
      </c>
      <c r="L5" s="551">
        <v>10000</v>
      </c>
      <c r="M5" s="481">
        <f>K5-L5</f>
        <v>0</v>
      </c>
      <c r="N5" s="497">
        <v>500000</v>
      </c>
      <c r="O5" s="551">
        <v>200000</v>
      </c>
      <c r="P5" s="481">
        <f>N5-O5</f>
        <v>300000</v>
      </c>
      <c r="Q5" s="63">
        <v>56000</v>
      </c>
      <c r="R5" s="116"/>
      <c r="S5" s="112" t="e">
        <f>R5-T5</f>
        <v>#REF!</v>
      </c>
      <c r="T5" s="112" t="e">
        <f>#REF!*0.18</f>
        <v>#REF!</v>
      </c>
      <c r="U5" s="112">
        <v>10308459</v>
      </c>
    </row>
    <row r="6" spans="2:21" x14ac:dyDescent="0.25">
      <c r="B6" s="77" t="s">
        <v>65</v>
      </c>
      <c r="C6" s="83">
        <v>3923</v>
      </c>
      <c r="D6" s="498">
        <v>34000</v>
      </c>
      <c r="E6" s="473">
        <v>29400</v>
      </c>
      <c r="F6" s="459">
        <f>D6-E6</f>
        <v>4600</v>
      </c>
      <c r="G6" s="489">
        <v>0</v>
      </c>
      <c r="H6" s="466">
        <v>1500</v>
      </c>
      <c r="I6" s="453">
        <f>G6-H6</f>
        <v>-1500</v>
      </c>
      <c r="J6" s="72">
        <v>0</v>
      </c>
      <c r="K6" s="489">
        <v>3000</v>
      </c>
      <c r="L6" s="552">
        <v>3000</v>
      </c>
      <c r="M6" s="453">
        <f t="shared" ref="M6:M31" si="0">K6-L6</f>
        <v>0</v>
      </c>
      <c r="N6" s="498">
        <v>407600</v>
      </c>
      <c r="O6" s="552">
        <v>367054</v>
      </c>
      <c r="P6" s="453">
        <f t="shared" ref="P6:P31" si="1">N6-O6</f>
        <v>40546</v>
      </c>
      <c r="Q6" s="64">
        <v>0</v>
      </c>
      <c r="S6" s="112" t="e">
        <f>R32-T6</f>
        <v>#REF!</v>
      </c>
      <c r="T6" s="112" t="e">
        <f>(#REF!*0.18)+(N6*0.18)</f>
        <v>#REF!</v>
      </c>
      <c r="U6" s="112">
        <v>1360375</v>
      </c>
    </row>
    <row r="7" spans="2:21" x14ac:dyDescent="0.25">
      <c r="B7" s="77" t="s">
        <v>14</v>
      </c>
      <c r="C7" s="77">
        <v>3901</v>
      </c>
      <c r="D7" s="498">
        <v>73000</v>
      </c>
      <c r="E7" s="473">
        <v>80000</v>
      </c>
      <c r="F7" s="459">
        <f t="shared" ref="F7:F13" si="2">D7-E7</f>
        <v>-7000</v>
      </c>
      <c r="G7" s="489">
        <v>3000</v>
      </c>
      <c r="H7" s="466">
        <v>3000</v>
      </c>
      <c r="I7" s="453">
        <f t="shared" ref="I7:I13" si="3">G7-H7</f>
        <v>0</v>
      </c>
      <c r="J7" s="72">
        <v>0</v>
      </c>
      <c r="K7" s="489">
        <v>4500</v>
      </c>
      <c r="L7" s="552">
        <v>5000</v>
      </c>
      <c r="M7" s="453">
        <f t="shared" si="0"/>
        <v>-500</v>
      </c>
      <c r="N7" s="498">
        <v>17500</v>
      </c>
      <c r="O7" s="552">
        <v>18000</v>
      </c>
      <c r="P7" s="453">
        <f t="shared" si="1"/>
        <v>-500</v>
      </c>
      <c r="Q7" s="64">
        <v>0</v>
      </c>
      <c r="R7" s="117"/>
      <c r="S7" s="112" t="e">
        <f t="shared" ref="S7:S31" si="4">R7-T7</f>
        <v>#REF!</v>
      </c>
      <c r="T7" s="112" t="e">
        <f>#REF!*0.18+D7*0.18</f>
        <v>#REF!</v>
      </c>
      <c r="U7" s="112">
        <v>3793800</v>
      </c>
    </row>
    <row r="8" spans="2:21" x14ac:dyDescent="0.25">
      <c r="B8" s="77" t="s">
        <v>15</v>
      </c>
      <c r="C8" s="77">
        <v>3903</v>
      </c>
      <c r="D8" s="498">
        <v>135000</v>
      </c>
      <c r="E8" s="473">
        <v>100000</v>
      </c>
      <c r="F8" s="459">
        <f t="shared" si="2"/>
        <v>35000</v>
      </c>
      <c r="G8" s="489">
        <v>20000</v>
      </c>
      <c r="H8" s="466">
        <v>8000</v>
      </c>
      <c r="I8" s="453">
        <f t="shared" si="3"/>
        <v>12000</v>
      </c>
      <c r="J8" s="72">
        <v>0</v>
      </c>
      <c r="K8" s="489">
        <v>10000</v>
      </c>
      <c r="L8" s="552">
        <v>10000</v>
      </c>
      <c r="M8" s="453">
        <f t="shared" si="0"/>
        <v>0</v>
      </c>
      <c r="N8" s="498">
        <v>56000</v>
      </c>
      <c r="O8" s="552">
        <v>65000</v>
      </c>
      <c r="P8" s="453">
        <f t="shared" si="1"/>
        <v>-9000</v>
      </c>
      <c r="Q8" s="64">
        <v>0</v>
      </c>
      <c r="R8" s="117"/>
      <c r="S8" s="112" t="e">
        <f t="shared" si="4"/>
        <v>#REF!</v>
      </c>
      <c r="T8" s="112" t="e">
        <f>#REF!*0.18+D8*0.18</f>
        <v>#REF!</v>
      </c>
      <c r="U8" s="112">
        <v>3158360</v>
      </c>
    </row>
    <row r="9" spans="2:21" x14ac:dyDescent="0.25">
      <c r="B9" s="77" t="s">
        <v>16</v>
      </c>
      <c r="C9" s="77">
        <v>3904</v>
      </c>
      <c r="D9" s="498">
        <v>65700</v>
      </c>
      <c r="E9" s="473">
        <v>10000</v>
      </c>
      <c r="F9" s="459">
        <f t="shared" si="2"/>
        <v>55700</v>
      </c>
      <c r="G9" s="489">
        <v>10000</v>
      </c>
      <c r="H9" s="466">
        <v>5000</v>
      </c>
      <c r="I9" s="453">
        <f t="shared" si="3"/>
        <v>5000</v>
      </c>
      <c r="J9" s="72">
        <v>0</v>
      </c>
      <c r="K9" s="489">
        <v>1500</v>
      </c>
      <c r="L9" s="552">
        <v>3000</v>
      </c>
      <c r="M9" s="453">
        <f t="shared" si="0"/>
        <v>-1500</v>
      </c>
      <c r="N9" s="498">
        <v>13700</v>
      </c>
      <c r="O9" s="552">
        <v>10000</v>
      </c>
      <c r="P9" s="453">
        <f t="shared" si="1"/>
        <v>3700</v>
      </c>
      <c r="Q9" s="64">
        <v>0</v>
      </c>
      <c r="R9" s="117"/>
      <c r="S9" s="112">
        <f t="shared" si="4"/>
        <v>0</v>
      </c>
      <c r="T9" s="112">
        <f>R9</f>
        <v>0</v>
      </c>
      <c r="U9" s="112">
        <v>687000</v>
      </c>
    </row>
    <row r="10" spans="2:21" x14ac:dyDescent="0.25">
      <c r="B10" s="77" t="s">
        <v>17</v>
      </c>
      <c r="C10" s="77">
        <v>3905</v>
      </c>
      <c r="D10" s="498">
        <v>35000</v>
      </c>
      <c r="E10" s="473">
        <v>70000</v>
      </c>
      <c r="F10" s="459">
        <f t="shared" si="2"/>
        <v>-35000</v>
      </c>
      <c r="G10" s="489">
        <v>8000</v>
      </c>
      <c r="H10" s="466">
        <v>15000</v>
      </c>
      <c r="I10" s="453">
        <f t="shared" si="3"/>
        <v>-7000</v>
      </c>
      <c r="J10" s="72">
        <v>0</v>
      </c>
      <c r="K10" s="489">
        <v>3000</v>
      </c>
      <c r="L10" s="552">
        <v>5000</v>
      </c>
      <c r="M10" s="453">
        <f t="shared" si="0"/>
        <v>-2000</v>
      </c>
      <c r="N10" s="498">
        <v>8000</v>
      </c>
      <c r="O10" s="552">
        <v>8200</v>
      </c>
      <c r="P10" s="453">
        <f t="shared" si="1"/>
        <v>-200</v>
      </c>
      <c r="Q10" s="64">
        <v>0</v>
      </c>
      <c r="R10" s="117"/>
      <c r="S10" s="112">
        <f t="shared" si="4"/>
        <v>-300000</v>
      </c>
      <c r="T10" s="112">
        <v>300000</v>
      </c>
      <c r="U10" s="112">
        <v>1216062</v>
      </c>
    </row>
    <row r="11" spans="2:21" x14ac:dyDescent="0.25">
      <c r="B11" s="77" t="s">
        <v>18</v>
      </c>
      <c r="C11" s="77">
        <v>3906</v>
      </c>
      <c r="D11" s="498">
        <v>170000</v>
      </c>
      <c r="E11" s="473">
        <v>200000</v>
      </c>
      <c r="F11" s="459">
        <f t="shared" si="2"/>
        <v>-30000</v>
      </c>
      <c r="G11" s="489">
        <v>20000</v>
      </c>
      <c r="H11" s="466">
        <v>20000</v>
      </c>
      <c r="I11" s="453">
        <f t="shared" si="3"/>
        <v>0</v>
      </c>
      <c r="J11" s="72">
        <v>0</v>
      </c>
      <c r="K11" s="489">
        <v>5000</v>
      </c>
      <c r="L11" s="552">
        <v>1000</v>
      </c>
      <c r="M11" s="453">
        <f t="shared" si="0"/>
        <v>4000</v>
      </c>
      <c r="N11" s="498">
        <v>245000</v>
      </c>
      <c r="O11" s="552">
        <v>250000</v>
      </c>
      <c r="P11" s="453">
        <f t="shared" si="1"/>
        <v>-5000</v>
      </c>
      <c r="Q11" s="64">
        <v>0</v>
      </c>
      <c r="R11" s="117"/>
      <c r="S11" s="112" t="e">
        <f t="shared" si="4"/>
        <v>#REF!</v>
      </c>
      <c r="T11" s="112" t="e">
        <f>#REF!*0.18+D11*0.18</f>
        <v>#REF!</v>
      </c>
      <c r="U11" s="112">
        <v>2083804</v>
      </c>
    </row>
    <row r="12" spans="2:21" x14ac:dyDescent="0.25">
      <c r="B12" s="77" t="s">
        <v>19</v>
      </c>
      <c r="C12" s="77">
        <v>3907</v>
      </c>
      <c r="D12" s="498">
        <v>205000</v>
      </c>
      <c r="E12" s="473">
        <v>310000</v>
      </c>
      <c r="F12" s="459">
        <f t="shared" si="2"/>
        <v>-105000</v>
      </c>
      <c r="G12" s="489">
        <v>20000</v>
      </c>
      <c r="H12" s="466">
        <v>30000</v>
      </c>
      <c r="I12" s="453">
        <f t="shared" si="3"/>
        <v>-10000</v>
      </c>
      <c r="J12" s="72">
        <v>0</v>
      </c>
      <c r="K12" s="489">
        <v>10000</v>
      </c>
      <c r="L12" s="552">
        <v>20000</v>
      </c>
      <c r="M12" s="453">
        <f t="shared" si="0"/>
        <v>-10000</v>
      </c>
      <c r="N12" s="498">
        <v>64500</v>
      </c>
      <c r="O12" s="552">
        <v>115500</v>
      </c>
      <c r="P12" s="453">
        <f t="shared" si="1"/>
        <v>-51000</v>
      </c>
      <c r="Q12" s="64">
        <v>0</v>
      </c>
      <c r="R12" s="117"/>
      <c r="S12" s="112">
        <f t="shared" si="4"/>
        <v>0</v>
      </c>
      <c r="T12" s="112">
        <v>0</v>
      </c>
      <c r="U12" s="112">
        <v>4986184</v>
      </c>
    </row>
    <row r="13" spans="2:21" ht="15.75" thickBot="1" x14ac:dyDescent="0.3">
      <c r="B13" s="77" t="s">
        <v>20</v>
      </c>
      <c r="C13" s="77">
        <v>3908</v>
      </c>
      <c r="D13" s="498">
        <v>38000</v>
      </c>
      <c r="E13" s="473">
        <v>40000</v>
      </c>
      <c r="F13" s="459">
        <f t="shared" si="2"/>
        <v>-2000</v>
      </c>
      <c r="G13" s="489">
        <v>5000</v>
      </c>
      <c r="H13" s="466">
        <v>8000</v>
      </c>
      <c r="I13" s="453">
        <f t="shared" si="3"/>
        <v>-3000</v>
      </c>
      <c r="J13" s="72">
        <v>0</v>
      </c>
      <c r="K13" s="489">
        <v>3000</v>
      </c>
      <c r="L13" s="552">
        <v>0</v>
      </c>
      <c r="M13" s="454">
        <f t="shared" si="0"/>
        <v>3000</v>
      </c>
      <c r="N13" s="498">
        <v>99600</v>
      </c>
      <c r="O13" s="552">
        <v>250000</v>
      </c>
      <c r="P13" s="454">
        <f t="shared" si="1"/>
        <v>-150400</v>
      </c>
      <c r="Q13" s="64">
        <v>0</v>
      </c>
      <c r="R13" s="117"/>
      <c r="S13" s="112" t="e">
        <f t="shared" si="4"/>
        <v>#REF!</v>
      </c>
      <c r="T13" s="112" t="e">
        <f>#REF!*0.18</f>
        <v>#REF!</v>
      </c>
      <c r="U13" s="112">
        <v>2977044</v>
      </c>
    </row>
    <row r="14" spans="2:21" x14ac:dyDescent="0.25">
      <c r="B14" s="78" t="s">
        <v>83</v>
      </c>
      <c r="C14" s="84" t="s">
        <v>84</v>
      </c>
      <c r="D14" s="499">
        <f>SUM(D15:D17)</f>
        <v>1110000</v>
      </c>
      <c r="E14" s="477">
        <v>1110000</v>
      </c>
      <c r="F14" s="480">
        <v>0</v>
      </c>
      <c r="G14" s="490">
        <f t="shared" ref="G14" si="5">SUM(G15:G17)</f>
        <v>10000</v>
      </c>
      <c r="H14" s="469">
        <v>10000</v>
      </c>
      <c r="I14" s="455">
        <v>0</v>
      </c>
      <c r="J14" s="75">
        <f t="shared" ref="J14:K14" si="6">SUM(J15:J17)</f>
        <v>1150000</v>
      </c>
      <c r="K14" s="490">
        <f t="shared" si="6"/>
        <v>2075000</v>
      </c>
      <c r="L14" s="557">
        <v>1575000</v>
      </c>
      <c r="M14" s="455">
        <f t="shared" si="0"/>
        <v>500000</v>
      </c>
      <c r="N14" s="499">
        <f t="shared" ref="N14" si="7">SUM(N15:N17)</f>
        <v>1705000</v>
      </c>
      <c r="O14" s="557">
        <v>1725000</v>
      </c>
      <c r="P14" s="455">
        <f t="shared" si="1"/>
        <v>-20000</v>
      </c>
      <c r="Q14" s="81">
        <f t="shared" ref="Q14" si="8">SUM(Q15:Q17)</f>
        <v>159665</v>
      </c>
      <c r="R14" s="118"/>
      <c r="S14" s="112">
        <f>S15+S16+S17</f>
        <v>0</v>
      </c>
      <c r="T14" s="112">
        <f>T15+T16+T17</f>
        <v>0</v>
      </c>
      <c r="U14" s="112">
        <v>9218044</v>
      </c>
    </row>
    <row r="15" spans="2:21" x14ac:dyDescent="0.25">
      <c r="B15" s="88" t="s">
        <v>78</v>
      </c>
      <c r="C15" s="89">
        <v>3911</v>
      </c>
      <c r="D15" s="500">
        <v>1000000</v>
      </c>
      <c r="E15" s="470"/>
      <c r="F15" s="456"/>
      <c r="G15" s="491">
        <v>10000</v>
      </c>
      <c r="H15" s="485"/>
      <c r="I15" s="482"/>
      <c r="J15" s="90">
        <v>0</v>
      </c>
      <c r="K15" s="491">
        <v>1695000</v>
      </c>
      <c r="L15" s="553"/>
      <c r="M15" s="453"/>
      <c r="N15" s="500">
        <v>1375000</v>
      </c>
      <c r="O15" s="553"/>
      <c r="P15" s="453"/>
      <c r="Q15" s="91">
        <v>159665</v>
      </c>
      <c r="R15" s="90"/>
      <c r="S15" s="114">
        <f t="shared" si="4"/>
        <v>0</v>
      </c>
      <c r="T15" s="112">
        <f>R15*0.18</f>
        <v>0</v>
      </c>
      <c r="U15" s="112"/>
    </row>
    <row r="16" spans="2:21" x14ac:dyDescent="0.25">
      <c r="B16" s="88" t="s">
        <v>79</v>
      </c>
      <c r="C16" s="89">
        <v>3913</v>
      </c>
      <c r="D16" s="500">
        <v>30000</v>
      </c>
      <c r="E16" s="470"/>
      <c r="F16" s="456"/>
      <c r="G16" s="491">
        <v>0</v>
      </c>
      <c r="H16" s="485"/>
      <c r="I16" s="482"/>
      <c r="J16" s="90">
        <v>0</v>
      </c>
      <c r="K16" s="491">
        <v>255000</v>
      </c>
      <c r="L16" s="553"/>
      <c r="M16" s="453"/>
      <c r="N16" s="500">
        <v>125000</v>
      </c>
      <c r="O16" s="553"/>
      <c r="P16" s="453"/>
      <c r="Q16" s="91">
        <v>0</v>
      </c>
      <c r="R16" s="90"/>
      <c r="S16" s="114">
        <f t="shared" si="4"/>
        <v>0</v>
      </c>
      <c r="T16" s="112">
        <f>R16*0.18</f>
        <v>0</v>
      </c>
      <c r="U16" s="112"/>
    </row>
    <row r="17" spans="2:23" ht="15.75" thickBot="1" x14ac:dyDescent="0.3">
      <c r="B17" s="92" t="s">
        <v>80</v>
      </c>
      <c r="C17" s="93">
        <v>3940</v>
      </c>
      <c r="D17" s="501">
        <v>80000</v>
      </c>
      <c r="E17" s="471"/>
      <c r="F17" s="456"/>
      <c r="G17" s="492">
        <v>0</v>
      </c>
      <c r="H17" s="486"/>
      <c r="I17" s="482"/>
      <c r="J17" s="94">
        <v>1150000</v>
      </c>
      <c r="K17" s="492">
        <v>125000</v>
      </c>
      <c r="L17" s="554"/>
      <c r="M17" s="454"/>
      <c r="N17" s="501">
        <v>205000</v>
      </c>
      <c r="O17" s="554"/>
      <c r="P17" s="454"/>
      <c r="Q17" s="95">
        <v>0</v>
      </c>
      <c r="R17" s="90"/>
      <c r="S17" s="114">
        <f t="shared" si="4"/>
        <v>0</v>
      </c>
      <c r="T17" s="114">
        <v>0</v>
      </c>
      <c r="U17" s="112"/>
    </row>
    <row r="18" spans="2:23" x14ac:dyDescent="0.25">
      <c r="B18" s="78" t="s">
        <v>76</v>
      </c>
      <c r="C18" s="85" t="s">
        <v>85</v>
      </c>
      <c r="D18" s="499">
        <f>SUM(D19:D21)</f>
        <v>1135000</v>
      </c>
      <c r="E18" s="477">
        <v>1267000</v>
      </c>
      <c r="F18" s="480">
        <v>-132000</v>
      </c>
      <c r="G18" s="490">
        <f t="shared" ref="G18" si="9">SUM(G19:G21)</f>
        <v>2000</v>
      </c>
      <c r="H18" s="469">
        <v>5000</v>
      </c>
      <c r="I18" s="455">
        <v>-3000</v>
      </c>
      <c r="J18" s="75">
        <f t="shared" ref="J18:K18" si="10">SUM(J19:J21)</f>
        <v>0</v>
      </c>
      <c r="K18" s="490">
        <f t="shared" si="10"/>
        <v>130000</v>
      </c>
      <c r="L18" s="557">
        <v>200000</v>
      </c>
      <c r="M18" s="455">
        <f t="shared" si="0"/>
        <v>-70000</v>
      </c>
      <c r="N18" s="499">
        <f t="shared" ref="N18" si="11">SUM(N19:N21)</f>
        <v>1280000</v>
      </c>
      <c r="O18" s="557">
        <v>685000</v>
      </c>
      <c r="P18" s="455">
        <f t="shared" si="1"/>
        <v>595000</v>
      </c>
      <c r="Q18" s="81">
        <f t="shared" ref="Q18" si="12">SUM(Q19:Q21)</f>
        <v>0</v>
      </c>
      <c r="R18" s="118"/>
      <c r="S18" s="112">
        <f>S19+S20+S21</f>
        <v>0</v>
      </c>
      <c r="T18" s="112">
        <f>T19+T20+T21</f>
        <v>0</v>
      </c>
      <c r="U18" s="112">
        <v>9223746</v>
      </c>
    </row>
    <row r="19" spans="2:23" x14ac:dyDescent="0.25">
      <c r="B19" s="88" t="s">
        <v>77</v>
      </c>
      <c r="C19" s="89">
        <v>3916</v>
      </c>
      <c r="D19" s="500">
        <v>755000</v>
      </c>
      <c r="E19" s="470"/>
      <c r="F19" s="456"/>
      <c r="G19" s="491">
        <v>2000</v>
      </c>
      <c r="H19" s="485"/>
      <c r="I19" s="482"/>
      <c r="J19" s="90">
        <v>0</v>
      </c>
      <c r="K19" s="491">
        <v>100000</v>
      </c>
      <c r="L19" s="553"/>
      <c r="M19" s="453"/>
      <c r="N19" s="500">
        <v>900000</v>
      </c>
      <c r="O19" s="553"/>
      <c r="P19" s="453"/>
      <c r="Q19" s="91">
        <v>0</v>
      </c>
      <c r="R19" s="91"/>
      <c r="S19" s="121">
        <f t="shared" si="4"/>
        <v>0</v>
      </c>
      <c r="T19" s="112">
        <f>R19*0.18</f>
        <v>0</v>
      </c>
      <c r="U19" s="112"/>
    </row>
    <row r="20" spans="2:23" ht="14.45" x14ac:dyDescent="0.3">
      <c r="B20" s="88" t="s">
        <v>81</v>
      </c>
      <c r="C20" s="89">
        <v>3914</v>
      </c>
      <c r="D20" s="500">
        <v>120000</v>
      </c>
      <c r="E20" s="470"/>
      <c r="F20" s="456"/>
      <c r="G20" s="491">
        <v>0</v>
      </c>
      <c r="H20" s="485"/>
      <c r="I20" s="482"/>
      <c r="J20" s="90">
        <v>0</v>
      </c>
      <c r="K20" s="491">
        <v>20000</v>
      </c>
      <c r="L20" s="553"/>
      <c r="M20" s="453"/>
      <c r="N20" s="500">
        <v>230000</v>
      </c>
      <c r="O20" s="553"/>
      <c r="P20" s="453"/>
      <c r="Q20" s="91">
        <v>0</v>
      </c>
      <c r="R20" s="91"/>
      <c r="S20" s="121">
        <f t="shared" si="4"/>
        <v>0</v>
      </c>
      <c r="T20" s="112">
        <f>R20*0.18</f>
        <v>0</v>
      </c>
      <c r="U20" s="112"/>
    </row>
    <row r="21" spans="2:23" ht="15.75" thickBot="1" x14ac:dyDescent="0.3">
      <c r="B21" s="92" t="s">
        <v>82</v>
      </c>
      <c r="C21" s="96">
        <v>3941</v>
      </c>
      <c r="D21" s="501">
        <v>260000</v>
      </c>
      <c r="E21" s="471"/>
      <c r="F21" s="456"/>
      <c r="G21" s="492">
        <v>0</v>
      </c>
      <c r="H21" s="486"/>
      <c r="I21" s="483"/>
      <c r="J21" s="94">
        <v>0</v>
      </c>
      <c r="K21" s="492">
        <v>10000</v>
      </c>
      <c r="L21" s="554"/>
      <c r="M21" s="454"/>
      <c r="N21" s="501">
        <v>150000</v>
      </c>
      <c r="O21" s="554"/>
      <c r="P21" s="453"/>
      <c r="Q21" s="95">
        <v>0</v>
      </c>
      <c r="R21" s="95"/>
      <c r="S21" s="121">
        <f t="shared" si="4"/>
        <v>0</v>
      </c>
      <c r="T21" s="121">
        <v>0</v>
      </c>
      <c r="U21" s="112"/>
    </row>
    <row r="22" spans="2:23" ht="15.75" thickBot="1" x14ac:dyDescent="0.3">
      <c r="B22" s="98" t="s">
        <v>53</v>
      </c>
      <c r="C22" s="99">
        <v>3912</v>
      </c>
      <c r="D22" s="502">
        <v>1145000</v>
      </c>
      <c r="E22" s="472">
        <v>811000</v>
      </c>
      <c r="F22" s="458">
        <f>D22-E22</f>
        <v>334000</v>
      </c>
      <c r="G22" s="493">
        <v>5000</v>
      </c>
      <c r="H22" s="487">
        <v>2000</v>
      </c>
      <c r="I22" s="484">
        <f>G22-H22</f>
        <v>3000</v>
      </c>
      <c r="J22" s="100">
        <v>0</v>
      </c>
      <c r="K22" s="493">
        <v>1250000</v>
      </c>
      <c r="L22" s="487">
        <v>1200000</v>
      </c>
      <c r="M22" s="453">
        <f t="shared" si="0"/>
        <v>50000</v>
      </c>
      <c r="N22" s="493">
        <v>585000</v>
      </c>
      <c r="O22" s="558">
        <v>485000</v>
      </c>
      <c r="P22" s="484">
        <f t="shared" si="1"/>
        <v>100000</v>
      </c>
      <c r="Q22" s="101">
        <v>148000</v>
      </c>
      <c r="R22" s="119"/>
      <c r="S22" s="112" t="e">
        <f t="shared" si="4"/>
        <v>#REF!</v>
      </c>
      <c r="T22" s="112" t="e">
        <f>#REF!*0.18+(D22+K22+N22)*0.3</f>
        <v>#REF!</v>
      </c>
      <c r="U22" s="112">
        <v>6527302</v>
      </c>
      <c r="W22" s="50"/>
    </row>
    <row r="23" spans="2:23" ht="15.75" thickBot="1" x14ac:dyDescent="0.3">
      <c r="B23" s="98" t="s">
        <v>54</v>
      </c>
      <c r="C23" s="99">
        <v>3919</v>
      </c>
      <c r="D23" s="502">
        <v>830000</v>
      </c>
      <c r="E23" s="472">
        <v>776000</v>
      </c>
      <c r="F23" s="458">
        <f t="shared" ref="F23:F26" si="13">D23-E23</f>
        <v>54000</v>
      </c>
      <c r="G23" s="493">
        <v>2000</v>
      </c>
      <c r="H23" s="487">
        <v>2000</v>
      </c>
      <c r="I23" s="484">
        <f t="shared" ref="I23:I26" si="14">G23-H23</f>
        <v>0</v>
      </c>
      <c r="J23" s="100">
        <v>0</v>
      </c>
      <c r="K23" s="493">
        <v>30000</v>
      </c>
      <c r="L23" s="487">
        <v>30000</v>
      </c>
      <c r="M23" s="481">
        <f t="shared" si="0"/>
        <v>0</v>
      </c>
      <c r="N23" s="493">
        <v>1100000</v>
      </c>
      <c r="O23" s="558">
        <v>886000</v>
      </c>
      <c r="P23" s="481">
        <f t="shared" si="1"/>
        <v>214000</v>
      </c>
      <c r="Q23" s="101">
        <v>0</v>
      </c>
      <c r="R23" s="119"/>
      <c r="S23" s="112">
        <f t="shared" si="4"/>
        <v>0</v>
      </c>
      <c r="T23" s="112">
        <f>R23*0.18</f>
        <v>0</v>
      </c>
      <c r="U23" s="112">
        <v>5021000</v>
      </c>
    </row>
    <row r="24" spans="2:23" ht="15.75" thickBot="1" x14ac:dyDescent="0.3">
      <c r="B24" s="77" t="s">
        <v>24</v>
      </c>
      <c r="C24" s="77">
        <v>3918</v>
      </c>
      <c r="D24" s="498">
        <v>260000</v>
      </c>
      <c r="E24" s="473">
        <v>110000</v>
      </c>
      <c r="F24" s="458">
        <f t="shared" si="13"/>
        <v>150000</v>
      </c>
      <c r="G24" s="489">
        <v>4000</v>
      </c>
      <c r="H24" s="466">
        <v>4000</v>
      </c>
      <c r="I24" s="484">
        <f t="shared" si="14"/>
        <v>0</v>
      </c>
      <c r="J24" s="72">
        <v>0</v>
      </c>
      <c r="K24" s="489">
        <v>80000</v>
      </c>
      <c r="L24" s="466">
        <v>40000</v>
      </c>
      <c r="M24" s="481">
        <f t="shared" si="0"/>
        <v>40000</v>
      </c>
      <c r="N24" s="489">
        <v>118000</v>
      </c>
      <c r="O24" s="552">
        <v>133500</v>
      </c>
      <c r="P24" s="481">
        <f t="shared" si="1"/>
        <v>-15500</v>
      </c>
      <c r="Q24" s="64">
        <v>82000</v>
      </c>
      <c r="R24" s="119"/>
      <c r="S24" s="112">
        <f t="shared" si="4"/>
        <v>0</v>
      </c>
      <c r="T24" s="112">
        <f>R24*0.18</f>
        <v>0</v>
      </c>
      <c r="U24" s="112">
        <v>1377722</v>
      </c>
    </row>
    <row r="25" spans="2:23" thickBot="1" x14ac:dyDescent="0.35">
      <c r="B25" s="98" t="s">
        <v>31</v>
      </c>
      <c r="C25" s="99">
        <v>3921</v>
      </c>
      <c r="D25" s="502">
        <v>0</v>
      </c>
      <c r="E25" s="472">
        <v>0</v>
      </c>
      <c r="F25" s="458">
        <f t="shared" si="13"/>
        <v>0</v>
      </c>
      <c r="G25" s="493">
        <v>0</v>
      </c>
      <c r="H25" s="487">
        <v>0</v>
      </c>
      <c r="I25" s="484">
        <f t="shared" si="14"/>
        <v>0</v>
      </c>
      <c r="J25" s="100">
        <v>3800000</v>
      </c>
      <c r="K25" s="493">
        <v>0</v>
      </c>
      <c r="L25" s="487"/>
      <c r="M25" s="481">
        <f t="shared" si="0"/>
        <v>0</v>
      </c>
      <c r="N25" s="493">
        <v>0</v>
      </c>
      <c r="O25" s="558"/>
      <c r="P25" s="481">
        <f t="shared" si="1"/>
        <v>0</v>
      </c>
      <c r="Q25" s="101">
        <v>0</v>
      </c>
      <c r="R25" s="119"/>
      <c r="S25" s="112">
        <f t="shared" si="4"/>
        <v>0</v>
      </c>
      <c r="T25" s="112">
        <v>0</v>
      </c>
      <c r="U25" s="112">
        <v>3800000</v>
      </c>
    </row>
    <row r="26" spans="2:23" thickBot="1" x14ac:dyDescent="0.35">
      <c r="B26" s="98" t="s">
        <v>32</v>
      </c>
      <c r="C26" s="99">
        <v>3922</v>
      </c>
      <c r="D26" s="502">
        <v>0</v>
      </c>
      <c r="E26" s="472">
        <v>0</v>
      </c>
      <c r="F26" s="458">
        <f t="shared" si="13"/>
        <v>0</v>
      </c>
      <c r="G26" s="493">
        <v>0</v>
      </c>
      <c r="H26" s="487">
        <v>0</v>
      </c>
      <c r="I26" s="484">
        <f t="shared" si="14"/>
        <v>0</v>
      </c>
      <c r="J26" s="100">
        <v>2800000</v>
      </c>
      <c r="K26" s="493">
        <v>0</v>
      </c>
      <c r="L26" s="487"/>
      <c r="M26" s="481">
        <f t="shared" si="0"/>
        <v>0</v>
      </c>
      <c r="N26" s="493">
        <v>0</v>
      </c>
      <c r="O26" s="558"/>
      <c r="P26" s="484">
        <f t="shared" si="1"/>
        <v>0</v>
      </c>
      <c r="Q26" s="101">
        <v>0</v>
      </c>
      <c r="R26" s="119"/>
      <c r="S26" s="112">
        <f t="shared" si="4"/>
        <v>0</v>
      </c>
      <c r="T26" s="112">
        <v>0</v>
      </c>
      <c r="U26" s="112">
        <v>2800000</v>
      </c>
    </row>
    <row r="27" spans="2:23" ht="15.75" thickBot="1" x14ac:dyDescent="0.3">
      <c r="B27" s="77" t="s">
        <v>22</v>
      </c>
      <c r="C27" s="77">
        <v>3915</v>
      </c>
      <c r="D27" s="498">
        <v>34600</v>
      </c>
      <c r="E27" s="473">
        <v>22500</v>
      </c>
      <c r="F27" s="459">
        <f>D27-E27</f>
        <v>12100</v>
      </c>
      <c r="G27" s="489">
        <v>7000</v>
      </c>
      <c r="H27" s="466">
        <v>6000</v>
      </c>
      <c r="I27" s="453">
        <f>G27-H27</f>
        <v>1000</v>
      </c>
      <c r="J27" s="72">
        <v>60000</v>
      </c>
      <c r="K27" s="489">
        <v>21000</v>
      </c>
      <c r="L27" s="552">
        <v>34000</v>
      </c>
      <c r="M27" s="481">
        <f t="shared" si="0"/>
        <v>-13000</v>
      </c>
      <c r="N27" s="498">
        <v>20100</v>
      </c>
      <c r="O27" s="552">
        <v>21206</v>
      </c>
      <c r="P27" s="453">
        <f t="shared" si="1"/>
        <v>-1106</v>
      </c>
      <c r="Q27" s="64">
        <v>0</v>
      </c>
      <c r="R27" s="119"/>
      <c r="S27" s="112">
        <f t="shared" si="4"/>
        <v>0</v>
      </c>
      <c r="T27" s="112">
        <v>0</v>
      </c>
      <c r="U27" s="112">
        <v>820063</v>
      </c>
    </row>
    <row r="28" spans="2:23" ht="15.75" thickBot="1" x14ac:dyDescent="0.3">
      <c r="B28" s="77" t="s">
        <v>23</v>
      </c>
      <c r="C28" s="77">
        <v>3917</v>
      </c>
      <c r="D28" s="498">
        <v>100000</v>
      </c>
      <c r="E28" s="473">
        <v>85000</v>
      </c>
      <c r="F28" s="459">
        <f t="shared" ref="F28:F31" si="15">D28-E28</f>
        <v>15000</v>
      </c>
      <c r="G28" s="489">
        <v>0</v>
      </c>
      <c r="H28" s="466">
        <v>0</v>
      </c>
      <c r="I28" s="453">
        <f t="shared" ref="I28:I31" si="16">G28-H28</f>
        <v>0</v>
      </c>
      <c r="J28" s="72">
        <v>155000</v>
      </c>
      <c r="K28" s="489">
        <v>80000</v>
      </c>
      <c r="L28" s="552">
        <v>80000</v>
      </c>
      <c r="M28" s="453">
        <f t="shared" si="0"/>
        <v>0</v>
      </c>
      <c r="N28" s="498">
        <v>20000</v>
      </c>
      <c r="O28" s="552">
        <v>5000</v>
      </c>
      <c r="P28" s="453">
        <f t="shared" si="1"/>
        <v>15000</v>
      </c>
      <c r="Q28" s="64">
        <v>0</v>
      </c>
      <c r="R28" s="119"/>
      <c r="S28" s="112">
        <f t="shared" si="4"/>
        <v>0</v>
      </c>
      <c r="T28" s="112">
        <v>0</v>
      </c>
      <c r="U28" s="112">
        <v>330000</v>
      </c>
    </row>
    <row r="29" spans="2:23" thickBot="1" x14ac:dyDescent="0.35">
      <c r="B29" s="77" t="s">
        <v>35</v>
      </c>
      <c r="C29" s="77">
        <v>3740</v>
      </c>
      <c r="D29" s="498">
        <v>369786.27</v>
      </c>
      <c r="E29" s="473">
        <v>286200</v>
      </c>
      <c r="F29" s="459">
        <f t="shared" si="15"/>
        <v>83586.270000000019</v>
      </c>
      <c r="G29" s="489">
        <v>40000</v>
      </c>
      <c r="H29" s="466">
        <v>60000</v>
      </c>
      <c r="I29" s="453">
        <f t="shared" si="16"/>
        <v>-20000</v>
      </c>
      <c r="J29" s="72">
        <v>0</v>
      </c>
      <c r="K29" s="489">
        <v>20000</v>
      </c>
      <c r="L29" s="552">
        <v>5000</v>
      </c>
      <c r="M29" s="453">
        <f t="shared" si="0"/>
        <v>15000</v>
      </c>
      <c r="N29" s="498">
        <v>184305.76</v>
      </c>
      <c r="O29" s="552">
        <v>227076</v>
      </c>
      <c r="P29" s="453">
        <f t="shared" si="1"/>
        <v>-42770.239999999991</v>
      </c>
      <c r="Q29" s="64">
        <v>66047</v>
      </c>
      <c r="R29" s="119"/>
      <c r="S29" s="112">
        <f t="shared" si="4"/>
        <v>0</v>
      </c>
      <c r="T29" s="112">
        <v>0</v>
      </c>
      <c r="U29" s="112">
        <v>4419105</v>
      </c>
    </row>
    <row r="30" spans="2:23" ht="15.75" thickBot="1" x14ac:dyDescent="0.3">
      <c r="B30" s="77" t="s">
        <v>25</v>
      </c>
      <c r="C30" s="77">
        <v>3960</v>
      </c>
      <c r="D30" s="498">
        <v>50000</v>
      </c>
      <c r="E30" s="473">
        <v>55000</v>
      </c>
      <c r="F30" s="459">
        <f t="shared" si="15"/>
        <v>-5000</v>
      </c>
      <c r="G30" s="489">
        <v>50000</v>
      </c>
      <c r="H30" s="466">
        <v>30000</v>
      </c>
      <c r="I30" s="453">
        <f t="shared" si="16"/>
        <v>20000</v>
      </c>
      <c r="J30" s="72">
        <v>0</v>
      </c>
      <c r="K30" s="489">
        <v>0</v>
      </c>
      <c r="L30" s="552">
        <v>0</v>
      </c>
      <c r="M30" s="453">
        <f t="shared" si="0"/>
        <v>0</v>
      </c>
      <c r="N30" s="498">
        <v>28000</v>
      </c>
      <c r="O30" s="552">
        <v>40000</v>
      </c>
      <c r="P30" s="453">
        <f t="shared" si="1"/>
        <v>-12000</v>
      </c>
      <c r="Q30" s="64">
        <v>0</v>
      </c>
      <c r="R30" s="119"/>
      <c r="S30" s="112">
        <f t="shared" si="4"/>
        <v>0</v>
      </c>
      <c r="T30" s="112">
        <v>0</v>
      </c>
      <c r="U30" s="112">
        <v>1555000</v>
      </c>
    </row>
    <row r="31" spans="2:23" ht="15.75" thickBot="1" x14ac:dyDescent="0.3">
      <c r="B31" s="79" t="s">
        <v>26</v>
      </c>
      <c r="C31" s="79">
        <v>3210</v>
      </c>
      <c r="D31" s="503">
        <v>80000</v>
      </c>
      <c r="E31" s="474">
        <v>80000</v>
      </c>
      <c r="F31" s="459">
        <f t="shared" si="15"/>
        <v>0</v>
      </c>
      <c r="G31" s="494">
        <v>60000</v>
      </c>
      <c r="H31" s="468">
        <v>40000</v>
      </c>
      <c r="I31" s="453">
        <f t="shared" si="16"/>
        <v>20000</v>
      </c>
      <c r="J31" s="74">
        <v>0</v>
      </c>
      <c r="K31" s="494">
        <v>10000</v>
      </c>
      <c r="L31" s="555">
        <v>10000</v>
      </c>
      <c r="M31" s="454">
        <f t="shared" si="0"/>
        <v>0</v>
      </c>
      <c r="N31" s="503">
        <v>10000</v>
      </c>
      <c r="O31" s="555">
        <v>10000</v>
      </c>
      <c r="P31" s="453">
        <f t="shared" si="1"/>
        <v>0</v>
      </c>
      <c r="Q31" s="65">
        <v>0</v>
      </c>
      <c r="R31" s="119"/>
      <c r="S31" s="112">
        <f t="shared" si="4"/>
        <v>0</v>
      </c>
      <c r="T31" s="112">
        <v>0</v>
      </c>
      <c r="U31" s="112">
        <v>3201983</v>
      </c>
    </row>
    <row r="32" spans="2:23" ht="15.75" thickBot="1" x14ac:dyDescent="0.3">
      <c r="B32" s="69" t="s">
        <v>75</v>
      </c>
      <c r="C32" s="69"/>
      <c r="D32" s="504">
        <f t="shared" ref="D32" si="17">SUM(D5:D31)-D15-D16-D17-D19-D20-D21</f>
        <v>5945312.2699999996</v>
      </c>
      <c r="E32" s="478">
        <f t="shared" ref="E32:L32" si="18">SUM(E5:E31)-E15-E16-E17-E19-E20-E21</f>
        <v>5492100</v>
      </c>
      <c r="F32" s="43">
        <f t="shared" si="18"/>
        <v>453212.27</v>
      </c>
      <c r="G32" s="495">
        <f t="shared" si="18"/>
        <v>316000</v>
      </c>
      <c r="H32" s="475">
        <f t="shared" si="18"/>
        <v>289500</v>
      </c>
      <c r="I32" s="460">
        <f t="shared" si="18"/>
        <v>26500</v>
      </c>
      <c r="J32" s="36">
        <f t="shared" si="18"/>
        <v>7965000</v>
      </c>
      <c r="K32" s="495">
        <f t="shared" si="18"/>
        <v>3746000</v>
      </c>
      <c r="L32" s="475">
        <f t="shared" si="18"/>
        <v>3231000</v>
      </c>
      <c r="M32" s="460">
        <f>SUM(M5:M31)-M15-M16-M17-M19-M20-M21</f>
        <v>515000</v>
      </c>
      <c r="N32" s="495">
        <f t="shared" ref="N32:P32" si="19">SUM(N5:N31)-N15-N16-N17-N19-N20-N21</f>
        <v>6462305.7599999998</v>
      </c>
      <c r="O32" s="559">
        <f t="shared" si="19"/>
        <v>5501536</v>
      </c>
      <c r="P32" s="460">
        <f t="shared" si="19"/>
        <v>960769.76</v>
      </c>
      <c r="Q32" s="67">
        <f t="shared" ref="Q32" si="20">SUM(Q5:Q31)-Q15-Q16-Q17-Q19-Q20-Q21</f>
        <v>511712</v>
      </c>
      <c r="R32" s="550"/>
      <c r="S32" s="112" t="e">
        <f>S5+S6+S7+S8+S9+S10+S11+S12+S13+S14+S18+S22+S23+S24+S25+S26+S27+S28+S29+S30+S31</f>
        <v>#REF!</v>
      </c>
      <c r="T32" s="112" t="e">
        <f>T5+T6+T7+T8+T9+T10+T11+T12+T13+T14+T18+T22+T23+T24+T25+T26+T27+T28+T29+T30+T31</f>
        <v>#REF!</v>
      </c>
      <c r="U32" s="120">
        <f>U5+U6+U7+U8+U9+U10+U11+U12+U13+U14+U18+U22+U23+U24+U25+U26+U27+++U28+++++++++U29+U30+U31</f>
        <v>78865053</v>
      </c>
    </row>
    <row r="33" spans="2:27" ht="14.45" x14ac:dyDescent="0.3">
      <c r="B33" s="70"/>
      <c r="C33" s="73"/>
      <c r="S33" s="7"/>
      <c r="T33" s="112" t="e">
        <f>S32+T32</f>
        <v>#REF!</v>
      </c>
    </row>
    <row r="34" spans="2:27" ht="48.6" customHeight="1" x14ac:dyDescent="0.25">
      <c r="B34" s="574" t="s">
        <v>317</v>
      </c>
      <c r="C34" s="574"/>
      <c r="D34" s="574"/>
      <c r="E34" s="574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61"/>
      <c r="S34" s="31"/>
      <c r="T34" s="31"/>
      <c r="U34" s="6"/>
      <c r="V34" s="5"/>
      <c r="W34" s="7"/>
      <c r="X34" s="7"/>
      <c r="Y34" s="7"/>
      <c r="Z34" s="7"/>
      <c r="AA34" s="7"/>
    </row>
    <row r="35" spans="2:27" ht="14.45" customHeight="1" x14ac:dyDescent="0.25">
      <c r="B35" s="563" t="s">
        <v>318</v>
      </c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1"/>
      <c r="R35" s="6"/>
      <c r="S35" s="31"/>
      <c r="T35" s="31"/>
      <c r="U35" s="6"/>
      <c r="V35" s="5"/>
      <c r="W35" s="7"/>
      <c r="X35" s="7"/>
      <c r="Y35" s="7"/>
      <c r="Z35" s="7"/>
      <c r="AA35" s="7"/>
    </row>
    <row r="36" spans="2:27" ht="19.149999999999999" customHeight="1" x14ac:dyDescent="0.25"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4"/>
    </row>
    <row r="37" spans="2:27" x14ac:dyDescent="0.25">
      <c r="B37" s="563" t="s">
        <v>316</v>
      </c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4"/>
    </row>
    <row r="38" spans="2:27" x14ac:dyDescent="0.25"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</row>
    <row r="39" spans="2:27" x14ac:dyDescent="0.25">
      <c r="B39" s="563" t="s">
        <v>319</v>
      </c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</row>
    <row r="40" spans="2:27" x14ac:dyDescent="0.25"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</row>
  </sheetData>
  <mergeCells count="5">
    <mergeCell ref="B35:P36"/>
    <mergeCell ref="B37:P38"/>
    <mergeCell ref="B34:E34"/>
    <mergeCell ref="B39:P40"/>
    <mergeCell ref="B4:C4"/>
  </mergeCells>
  <pageMargins left="0.25" right="0.25" top="0.75" bottom="0.75" header="0.3" footer="0.3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22" workbookViewId="0">
      <selection activeCell="A52" sqref="A52:D52"/>
    </sheetView>
  </sheetViews>
  <sheetFormatPr defaultRowHeight="15" x14ac:dyDescent="0.25"/>
  <cols>
    <col min="1" max="1" width="37.7109375" bestFit="1" customWidth="1"/>
    <col min="2" max="2" width="19.42578125" customWidth="1"/>
    <col min="3" max="4" width="21.7109375" customWidth="1"/>
    <col min="6" max="6" width="11.42578125" bestFit="1" customWidth="1"/>
  </cols>
  <sheetData>
    <row r="1" spans="1:6" ht="24" thickBot="1" x14ac:dyDescent="0.4">
      <c r="A1" s="126" t="s">
        <v>116</v>
      </c>
      <c r="B1" s="127"/>
      <c r="C1" s="127"/>
    </row>
    <row r="2" spans="1:6" ht="19.5" thickBot="1" x14ac:dyDescent="0.35">
      <c r="A2" s="128" t="s">
        <v>117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121</v>
      </c>
    </row>
    <row r="4" spans="1:6" ht="14.45" x14ac:dyDescent="0.3">
      <c r="A4" s="134" t="s">
        <v>122</v>
      </c>
      <c r="B4" s="135"/>
      <c r="C4" s="136">
        <v>6170428</v>
      </c>
      <c r="D4" s="137">
        <v>6225929</v>
      </c>
    </row>
    <row r="5" spans="1:6" x14ac:dyDescent="0.25">
      <c r="A5" s="138" t="s">
        <v>123</v>
      </c>
      <c r="B5" s="139"/>
      <c r="C5" s="140">
        <v>1478050</v>
      </c>
      <c r="D5" s="141">
        <v>1785750</v>
      </c>
    </row>
    <row r="6" spans="1:6" x14ac:dyDescent="0.25">
      <c r="A6" s="138" t="s">
        <v>124</v>
      </c>
      <c r="B6" s="139"/>
      <c r="C6" s="140">
        <v>2474179</v>
      </c>
      <c r="D6" s="141">
        <v>2917853</v>
      </c>
      <c r="F6" s="50"/>
    </row>
    <row r="7" spans="1:6" x14ac:dyDescent="0.25">
      <c r="A7" s="138" t="s">
        <v>125</v>
      </c>
      <c r="B7" s="139"/>
      <c r="C7" s="140">
        <v>0</v>
      </c>
      <c r="D7" s="142">
        <v>0</v>
      </c>
    </row>
    <row r="8" spans="1:6" x14ac:dyDescent="0.25">
      <c r="A8" s="138" t="s">
        <v>126</v>
      </c>
      <c r="B8" s="139"/>
      <c r="C8" s="140">
        <v>0</v>
      </c>
      <c r="D8" s="142">
        <v>0</v>
      </c>
    </row>
    <row r="9" spans="1:6" ht="14.45" x14ac:dyDescent="0.3">
      <c r="A9" s="138" t="s">
        <v>127</v>
      </c>
      <c r="B9" s="139"/>
      <c r="C9" s="140">
        <v>64062</v>
      </c>
      <c r="D9" s="141">
        <v>72000</v>
      </c>
    </row>
    <row r="10" spans="1:6" x14ac:dyDescent="0.25">
      <c r="A10" s="138" t="s">
        <v>128</v>
      </c>
      <c r="B10" s="139"/>
      <c r="C10" s="140">
        <v>-572816</v>
      </c>
      <c r="D10" s="141">
        <v>46750</v>
      </c>
    </row>
    <row r="11" spans="1:6" x14ac:dyDescent="0.25">
      <c r="A11" s="138" t="s">
        <v>129</v>
      </c>
      <c r="B11" s="139"/>
      <c r="C11" s="140">
        <v>584</v>
      </c>
      <c r="D11" s="141">
        <v>600</v>
      </c>
    </row>
    <row r="12" spans="1:6" thickBot="1" x14ac:dyDescent="0.35">
      <c r="A12" s="143"/>
      <c r="B12" s="144"/>
      <c r="C12" s="145"/>
      <c r="D12" s="146"/>
      <c r="F12" s="147"/>
    </row>
    <row r="13" spans="1:6" thickBot="1" x14ac:dyDescent="0.35">
      <c r="A13" s="148" t="s">
        <v>130</v>
      </c>
      <c r="B13" s="149">
        <v>9950000</v>
      </c>
      <c r="C13" s="149">
        <f>SUM(C4:C12)</f>
        <v>9614487</v>
      </c>
      <c r="D13" s="149">
        <f>SUM(D4:D12)</f>
        <v>11048882</v>
      </c>
    </row>
    <row r="14" spans="1:6" thickBot="1" x14ac:dyDescent="0.35">
      <c r="A14" s="150"/>
      <c r="B14" s="151"/>
      <c r="C14" s="151"/>
      <c r="D14" s="152"/>
    </row>
    <row r="15" spans="1:6" ht="15.75" thickBot="1" x14ac:dyDescent="0.3">
      <c r="A15" s="153" t="s">
        <v>1</v>
      </c>
      <c r="B15" s="154"/>
      <c r="C15" s="154"/>
      <c r="D15" s="155"/>
    </row>
    <row r="16" spans="1:6" x14ac:dyDescent="0.25">
      <c r="A16" s="156" t="s">
        <v>131</v>
      </c>
      <c r="B16" s="157"/>
      <c r="C16" s="157">
        <v>18072</v>
      </c>
      <c r="D16" s="158">
        <v>20000</v>
      </c>
    </row>
    <row r="17" spans="1:6" x14ac:dyDescent="0.25">
      <c r="A17" s="159" t="s">
        <v>132</v>
      </c>
      <c r="B17" s="160"/>
      <c r="C17" s="160">
        <v>1953</v>
      </c>
      <c r="D17" s="161">
        <v>5000</v>
      </c>
    </row>
    <row r="18" spans="1:6" ht="14.45" x14ac:dyDescent="0.3">
      <c r="A18" s="159" t="s">
        <v>133</v>
      </c>
      <c r="B18" s="160"/>
      <c r="C18" s="160">
        <v>72499</v>
      </c>
      <c r="D18" s="161">
        <v>25000</v>
      </c>
      <c r="F18" s="50"/>
    </row>
    <row r="19" spans="1:6" x14ac:dyDescent="0.25">
      <c r="A19" s="162" t="s">
        <v>134</v>
      </c>
      <c r="B19" s="163"/>
      <c r="C19" s="163">
        <v>28533</v>
      </c>
      <c r="D19" s="161">
        <v>25226</v>
      </c>
    </row>
    <row r="20" spans="1:6" thickBot="1" x14ac:dyDescent="0.35">
      <c r="A20" s="162"/>
      <c r="B20" s="163"/>
      <c r="C20" s="163"/>
      <c r="D20" s="164"/>
    </row>
    <row r="21" spans="1:6" thickBot="1" x14ac:dyDescent="0.35">
      <c r="A21" s="165" t="s">
        <v>130</v>
      </c>
      <c r="B21" s="166">
        <v>50000</v>
      </c>
      <c r="C21" s="166">
        <f>SUM(C16:C20)</f>
        <v>121057</v>
      </c>
      <c r="D21" s="166">
        <f>SUM(D16:D20)</f>
        <v>75226</v>
      </c>
    </row>
    <row r="22" spans="1:6" thickBot="1" x14ac:dyDescent="0.35">
      <c r="A22" s="150"/>
      <c r="B22" s="167"/>
      <c r="C22" s="167"/>
      <c r="D22" s="34"/>
    </row>
    <row r="23" spans="1:6" ht="15.75" thickBot="1" x14ac:dyDescent="0.3">
      <c r="A23" s="168" t="s">
        <v>2</v>
      </c>
      <c r="B23" s="169"/>
      <c r="C23" s="169"/>
      <c r="D23" s="170"/>
    </row>
    <row r="24" spans="1:6" ht="15.75" thickBot="1" x14ac:dyDescent="0.3">
      <c r="A24" s="171" t="s">
        <v>135</v>
      </c>
      <c r="B24" s="172"/>
      <c r="C24" s="172">
        <v>56041</v>
      </c>
      <c r="D24" s="173">
        <v>50000</v>
      </c>
    </row>
    <row r="25" spans="1:6" thickBot="1" x14ac:dyDescent="0.35">
      <c r="A25" s="174" t="s">
        <v>130</v>
      </c>
      <c r="B25" s="175">
        <v>40000</v>
      </c>
      <c r="C25" s="175">
        <f>SUM(C23:C24)</f>
        <v>56041</v>
      </c>
      <c r="D25" s="175">
        <f>SUM(D24)</f>
        <v>50000</v>
      </c>
    </row>
    <row r="26" spans="1:6" ht="14.45" x14ac:dyDescent="0.3">
      <c r="A26" s="150"/>
      <c r="B26" s="167"/>
      <c r="C26" s="167"/>
      <c r="D26" s="34"/>
    </row>
    <row r="27" spans="1:6" thickBot="1" x14ac:dyDescent="0.35">
      <c r="A27" s="150"/>
      <c r="B27" s="167"/>
      <c r="C27" s="167"/>
      <c r="D27" s="34"/>
    </row>
    <row r="28" spans="1:6" ht="15.75" thickBot="1" x14ac:dyDescent="0.3">
      <c r="A28" s="176" t="s">
        <v>136</v>
      </c>
      <c r="B28" s="177"/>
      <c r="C28" s="177"/>
      <c r="D28" s="178"/>
    </row>
    <row r="29" spans="1:6" ht="15.75" thickBot="1" x14ac:dyDescent="0.3">
      <c r="A29" s="179" t="s">
        <v>137</v>
      </c>
      <c r="B29" s="180"/>
      <c r="C29" s="180">
        <v>1027</v>
      </c>
      <c r="D29" s="181">
        <v>10000</v>
      </c>
    </row>
    <row r="30" spans="1:6" thickBot="1" x14ac:dyDescent="0.35">
      <c r="A30" s="182" t="s">
        <v>130</v>
      </c>
      <c r="B30" s="183">
        <v>10000</v>
      </c>
      <c r="C30" s="183">
        <f>SUM(C28:C29)</f>
        <v>1027</v>
      </c>
      <c r="D30" s="183">
        <f>SUM(D29)</f>
        <v>10000</v>
      </c>
    </row>
    <row r="31" spans="1:6" thickBot="1" x14ac:dyDescent="0.35">
      <c r="A31" s="150"/>
      <c r="B31" s="167"/>
      <c r="C31" s="167"/>
      <c r="D31" s="34"/>
    </row>
    <row r="32" spans="1:6" thickBot="1" x14ac:dyDescent="0.35">
      <c r="A32" s="184" t="s">
        <v>3</v>
      </c>
      <c r="B32" s="185"/>
      <c r="C32" s="186">
        <v>0</v>
      </c>
      <c r="D32" s="187">
        <v>0</v>
      </c>
    </row>
    <row r="33" spans="1:6" thickBot="1" x14ac:dyDescent="0.35">
      <c r="A33" s="188" t="s">
        <v>130</v>
      </c>
      <c r="B33" s="189">
        <v>0</v>
      </c>
      <c r="C33" s="189">
        <v>0</v>
      </c>
      <c r="D33" s="190">
        <v>0</v>
      </c>
    </row>
    <row r="34" spans="1:6" thickBot="1" x14ac:dyDescent="0.35">
      <c r="A34" s="150"/>
      <c r="B34" s="167"/>
      <c r="C34" s="167"/>
      <c r="D34" s="191"/>
    </row>
    <row r="35" spans="1:6" ht="15.75" thickBot="1" x14ac:dyDescent="0.3">
      <c r="A35" s="192" t="s">
        <v>5</v>
      </c>
      <c r="B35" s="193"/>
      <c r="C35" s="193"/>
      <c r="D35" s="194"/>
    </row>
    <row r="36" spans="1:6" ht="14.45" x14ac:dyDescent="0.3">
      <c r="A36" s="195" t="s">
        <v>138</v>
      </c>
      <c r="B36" s="196"/>
      <c r="C36" s="196">
        <v>16490</v>
      </c>
      <c r="D36" s="197">
        <v>20000</v>
      </c>
    </row>
    <row r="37" spans="1:6" x14ac:dyDescent="0.25">
      <c r="A37" s="198" t="s">
        <v>139</v>
      </c>
      <c r="B37" s="199"/>
      <c r="C37" s="199">
        <v>9674</v>
      </c>
      <c r="D37" s="200">
        <v>10000</v>
      </c>
    </row>
    <row r="38" spans="1:6" ht="14.45" x14ac:dyDescent="0.3">
      <c r="A38" s="198" t="s">
        <v>140</v>
      </c>
      <c r="B38" s="199"/>
      <c r="C38" s="199">
        <v>0</v>
      </c>
      <c r="D38" s="201">
        <v>0</v>
      </c>
    </row>
    <row r="39" spans="1:6" ht="14.45" x14ac:dyDescent="0.3">
      <c r="A39" s="198" t="s">
        <v>141</v>
      </c>
      <c r="B39" s="199"/>
      <c r="C39" s="199">
        <v>0</v>
      </c>
      <c r="D39" s="201">
        <v>0</v>
      </c>
      <c r="F39" s="50"/>
    </row>
    <row r="40" spans="1:6" x14ac:dyDescent="0.25">
      <c r="A40" s="198" t="s">
        <v>142</v>
      </c>
      <c r="B40" s="199"/>
      <c r="C40" s="199">
        <v>4330</v>
      </c>
      <c r="D40" s="200">
        <v>5000</v>
      </c>
    </row>
    <row r="41" spans="1:6" x14ac:dyDescent="0.25">
      <c r="A41" s="198" t="s">
        <v>143</v>
      </c>
      <c r="B41" s="199"/>
      <c r="C41" s="199">
        <v>515414</v>
      </c>
      <c r="D41" s="200">
        <v>465000</v>
      </c>
    </row>
    <row r="42" spans="1:6" thickBot="1" x14ac:dyDescent="0.35">
      <c r="A42" s="202" t="s">
        <v>130</v>
      </c>
      <c r="B42" s="203">
        <v>200000</v>
      </c>
      <c r="C42" s="203">
        <f>SUM(C36:C41)</f>
        <v>545908</v>
      </c>
      <c r="D42" s="203">
        <f>SUM(D36:D41)</f>
        <v>500000</v>
      </c>
    </row>
    <row r="43" spans="1:6" thickBot="1" x14ac:dyDescent="0.35">
      <c r="A43" s="14"/>
      <c r="B43" s="204"/>
      <c r="C43" s="204"/>
      <c r="D43" s="205"/>
    </row>
    <row r="44" spans="1:6" thickBot="1" x14ac:dyDescent="0.35">
      <c r="A44" s="176" t="s">
        <v>13</v>
      </c>
      <c r="B44" s="177"/>
      <c r="C44" s="177"/>
      <c r="D44" s="178"/>
    </row>
    <row r="45" spans="1:6" ht="15.75" thickBot="1" x14ac:dyDescent="0.3">
      <c r="A45" s="179" t="s">
        <v>13</v>
      </c>
      <c r="B45" s="180"/>
      <c r="C45" s="180">
        <v>55400</v>
      </c>
      <c r="D45" s="181">
        <v>56000</v>
      </c>
    </row>
    <row r="46" spans="1:6" ht="15.75" thickBot="1" x14ac:dyDescent="0.3">
      <c r="A46" s="182" t="s">
        <v>130</v>
      </c>
      <c r="B46" s="183">
        <v>58459</v>
      </c>
      <c r="C46" s="183">
        <f>SUM(C44:C45)</f>
        <v>55400</v>
      </c>
      <c r="D46" s="183">
        <f>SUM(D45)</f>
        <v>56000</v>
      </c>
    </row>
    <row r="47" spans="1:6" ht="15.75" thickBot="1" x14ac:dyDescent="0.3">
      <c r="A47" s="14"/>
      <c r="B47" s="204"/>
      <c r="C47" s="204"/>
      <c r="D47" s="205"/>
    </row>
    <row r="48" spans="1:6" ht="19.5" thickBot="1" x14ac:dyDescent="0.35">
      <c r="A48" s="206" t="s">
        <v>10</v>
      </c>
      <c r="B48" s="207">
        <f>B13+B21+B25+B30+B33+B42+B46</f>
        <v>10308459</v>
      </c>
      <c r="C48" s="207">
        <f>C13+C21+C25+C30+C33+C42+C46</f>
        <v>10393920</v>
      </c>
      <c r="D48" s="208">
        <f>D42+D33+D30+D25+D21+D13+D46</f>
        <v>11740108</v>
      </c>
      <c r="F48" s="27"/>
    </row>
    <row r="49" spans="1:4" x14ac:dyDescent="0.25">
      <c r="A49" s="18"/>
      <c r="B49" s="18"/>
      <c r="C49" s="18"/>
      <c r="D49" s="18"/>
    </row>
    <row r="50" spans="1:4" x14ac:dyDescent="0.25">
      <c r="A50" s="575" t="s">
        <v>144</v>
      </c>
      <c r="B50" s="575"/>
      <c r="C50" s="575"/>
      <c r="D50" s="18"/>
    </row>
    <row r="51" spans="1:4" ht="46.15" customHeight="1" x14ac:dyDescent="0.25">
      <c r="A51" s="576" t="s">
        <v>145</v>
      </c>
      <c r="B51" s="576"/>
      <c r="C51" s="576"/>
      <c r="D51" s="576"/>
    </row>
    <row r="52" spans="1:4" ht="49.5" customHeight="1" x14ac:dyDescent="0.25">
      <c r="A52" s="576" t="s">
        <v>146</v>
      </c>
      <c r="B52" s="576"/>
      <c r="C52" s="576"/>
      <c r="D52" s="576"/>
    </row>
    <row r="53" spans="1:4" ht="60" customHeight="1" x14ac:dyDescent="0.25">
      <c r="A53" s="209"/>
      <c r="B53" s="209"/>
      <c r="C53" s="209"/>
      <c r="D53" s="209"/>
    </row>
    <row r="54" spans="1:4" x14ac:dyDescent="0.25">
      <c r="A54" s="210"/>
      <c r="B54" s="211"/>
      <c r="C54" s="211"/>
      <c r="D54" s="211"/>
    </row>
  </sheetData>
  <mergeCells count="3">
    <mergeCell ref="A50:C50"/>
    <mergeCell ref="A51:D51"/>
    <mergeCell ref="A52:D52"/>
  </mergeCells>
  <pageMargins left="0.7" right="0.7" top="0.78740157499999996" bottom="0.78740157499999996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32" workbookViewId="0">
      <selection activeCell="A49" sqref="A49:D49"/>
    </sheetView>
  </sheetViews>
  <sheetFormatPr defaultRowHeight="15" x14ac:dyDescent="0.25"/>
  <cols>
    <col min="1" max="1" width="37.7109375" bestFit="1" customWidth="1"/>
    <col min="2" max="2" width="19.42578125" customWidth="1"/>
    <col min="3" max="3" width="24" customWidth="1"/>
    <col min="4" max="4" width="18.42578125" customWidth="1"/>
  </cols>
  <sheetData>
    <row r="1" spans="1:6" ht="24" thickBot="1" x14ac:dyDescent="0.4">
      <c r="A1" s="126" t="s">
        <v>116</v>
      </c>
      <c r="B1" s="127"/>
      <c r="C1" s="127"/>
    </row>
    <row r="2" spans="1:6" ht="19.5" thickBot="1" x14ac:dyDescent="0.35">
      <c r="A2" s="212" t="s">
        <v>147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148</v>
      </c>
    </row>
    <row r="4" spans="1:6" ht="14.45" x14ac:dyDescent="0.3">
      <c r="A4" s="134" t="s">
        <v>122</v>
      </c>
      <c r="B4" s="135"/>
      <c r="C4" s="136">
        <v>582513</v>
      </c>
      <c r="D4" s="137">
        <v>702180</v>
      </c>
    </row>
    <row r="5" spans="1:6" x14ac:dyDescent="0.25">
      <c r="A5" s="138" t="s">
        <v>123</v>
      </c>
      <c r="B5" s="139"/>
      <c r="C5" s="140">
        <v>65000</v>
      </c>
      <c r="D5" s="141">
        <v>70000</v>
      </c>
    </row>
    <row r="6" spans="1:6" x14ac:dyDescent="0.25">
      <c r="A6" s="138" t="s">
        <v>124</v>
      </c>
      <c r="B6" s="139"/>
      <c r="C6" s="140">
        <v>224801</v>
      </c>
      <c r="D6" s="141">
        <v>281228</v>
      </c>
      <c r="F6" s="50"/>
    </row>
    <row r="7" spans="1:6" x14ac:dyDescent="0.25">
      <c r="A7" s="138" t="s">
        <v>125</v>
      </c>
      <c r="B7" s="139"/>
      <c r="C7" s="140">
        <v>0</v>
      </c>
      <c r="D7" s="142">
        <v>0</v>
      </c>
    </row>
    <row r="8" spans="1:6" x14ac:dyDescent="0.25">
      <c r="A8" s="138" t="s">
        <v>149</v>
      </c>
      <c r="B8" s="139"/>
      <c r="C8" s="140">
        <v>0</v>
      </c>
      <c r="D8" s="142">
        <v>0</v>
      </c>
    </row>
    <row r="9" spans="1:6" ht="14.45" x14ac:dyDescent="0.3">
      <c r="A9" s="138" t="s">
        <v>127</v>
      </c>
      <c r="B9" s="139"/>
      <c r="C9" s="140">
        <v>0</v>
      </c>
      <c r="D9" s="141">
        <v>0</v>
      </c>
    </row>
    <row r="10" spans="1:6" x14ac:dyDescent="0.25">
      <c r="A10" s="138" t="s">
        <v>128</v>
      </c>
      <c r="B10" s="139"/>
      <c r="C10" s="140">
        <v>40708</v>
      </c>
      <c r="D10" s="141">
        <v>35063</v>
      </c>
    </row>
    <row r="11" spans="1:6" ht="15.75" thickBot="1" x14ac:dyDescent="0.3">
      <c r="A11" s="138" t="s">
        <v>129</v>
      </c>
      <c r="B11" s="139"/>
      <c r="C11" s="140">
        <v>0</v>
      </c>
      <c r="D11" s="141">
        <v>600</v>
      </c>
    </row>
    <row r="12" spans="1:6" thickBot="1" x14ac:dyDescent="0.35">
      <c r="A12" s="148" t="s">
        <v>130</v>
      </c>
      <c r="B12" s="149">
        <v>959421</v>
      </c>
      <c r="C12" s="149">
        <f>SUM(C4:C11)</f>
        <v>913022</v>
      </c>
      <c r="D12" s="149">
        <f>SUM(D4:D11)</f>
        <v>1089071</v>
      </c>
    </row>
    <row r="13" spans="1:6" thickBot="1" x14ac:dyDescent="0.35">
      <c r="A13" s="150"/>
      <c r="B13" s="151"/>
      <c r="C13" s="151"/>
      <c r="D13" s="152"/>
    </row>
    <row r="14" spans="1:6" ht="15.75" thickBot="1" x14ac:dyDescent="0.3">
      <c r="A14" s="153" t="s">
        <v>1</v>
      </c>
      <c r="B14" s="154"/>
      <c r="C14" s="154"/>
      <c r="D14" s="155"/>
    </row>
    <row r="15" spans="1:6" x14ac:dyDescent="0.25">
      <c r="A15" s="156" t="s">
        <v>131</v>
      </c>
      <c r="B15" s="157"/>
      <c r="C15" s="157">
        <v>14501</v>
      </c>
      <c r="D15" s="158">
        <v>15000</v>
      </c>
    </row>
    <row r="16" spans="1:6" x14ac:dyDescent="0.25">
      <c r="A16" s="159" t="s">
        <v>132</v>
      </c>
      <c r="B16" s="160"/>
      <c r="C16" s="160">
        <v>6918</v>
      </c>
      <c r="D16" s="161">
        <v>7000</v>
      </c>
    </row>
    <row r="17" spans="1:4" ht="14.45" x14ac:dyDescent="0.3">
      <c r="A17" s="159" t="s">
        <v>133</v>
      </c>
      <c r="B17" s="160"/>
      <c r="C17" s="160">
        <v>2783</v>
      </c>
      <c r="D17" s="161">
        <v>10000</v>
      </c>
    </row>
    <row r="18" spans="1:4" x14ac:dyDescent="0.25">
      <c r="A18" s="162" t="s">
        <v>134</v>
      </c>
      <c r="B18" s="163"/>
      <c r="C18" s="163">
        <v>1584</v>
      </c>
      <c r="D18" s="213">
        <v>2000</v>
      </c>
    </row>
    <row r="19" spans="1:4" thickBot="1" x14ac:dyDescent="0.35">
      <c r="A19" s="162"/>
      <c r="B19" s="163"/>
      <c r="C19" s="163"/>
      <c r="D19" s="164"/>
    </row>
    <row r="20" spans="1:4" thickBot="1" x14ac:dyDescent="0.35">
      <c r="A20" s="165" t="s">
        <v>130</v>
      </c>
      <c r="B20" s="166">
        <v>29400</v>
      </c>
      <c r="C20" s="166">
        <v>25785.66</v>
      </c>
      <c r="D20" s="214">
        <f>SUM(D15:D19)</f>
        <v>34000</v>
      </c>
    </row>
    <row r="21" spans="1:4" thickBot="1" x14ac:dyDescent="0.35">
      <c r="A21" s="150"/>
      <c r="B21" s="167"/>
      <c r="C21" s="167"/>
      <c r="D21" s="34"/>
    </row>
    <row r="22" spans="1:4" ht="15.75" thickBot="1" x14ac:dyDescent="0.3">
      <c r="A22" s="168" t="s">
        <v>2</v>
      </c>
      <c r="B22" s="169"/>
      <c r="C22" s="169"/>
      <c r="D22" s="170"/>
    </row>
    <row r="23" spans="1:4" ht="15.75" thickBot="1" x14ac:dyDescent="0.3">
      <c r="A23" s="171" t="s">
        <v>135</v>
      </c>
      <c r="B23" s="172"/>
      <c r="C23" s="172"/>
      <c r="D23" s="173"/>
    </row>
    <row r="24" spans="1:4" thickBot="1" x14ac:dyDescent="0.35">
      <c r="A24" s="174" t="s">
        <v>130</v>
      </c>
      <c r="B24" s="175">
        <v>1500</v>
      </c>
      <c r="C24" s="175">
        <v>0</v>
      </c>
      <c r="D24" s="215">
        <f>SUM(D23)</f>
        <v>0</v>
      </c>
    </row>
    <row r="25" spans="1:4" ht="14.45" x14ac:dyDescent="0.3">
      <c r="A25" s="150"/>
      <c r="B25" s="167"/>
      <c r="C25" s="167"/>
      <c r="D25" s="34"/>
    </row>
    <row r="26" spans="1:4" thickBot="1" x14ac:dyDescent="0.35">
      <c r="A26" s="150"/>
      <c r="B26" s="167"/>
      <c r="C26" s="167"/>
      <c r="D26" s="34"/>
    </row>
    <row r="27" spans="1:4" ht="15.75" thickBot="1" x14ac:dyDescent="0.3">
      <c r="A27" s="176" t="s">
        <v>136</v>
      </c>
      <c r="B27" s="177"/>
      <c r="C27" s="177"/>
      <c r="D27" s="178"/>
    </row>
    <row r="28" spans="1:4" ht="15.75" thickBot="1" x14ac:dyDescent="0.3">
      <c r="A28" s="179" t="s">
        <v>137</v>
      </c>
      <c r="B28" s="180"/>
      <c r="C28" s="180"/>
      <c r="D28" s="181">
        <v>3000</v>
      </c>
    </row>
    <row r="29" spans="1:4" thickBot="1" x14ac:dyDescent="0.35">
      <c r="A29" s="182" t="s">
        <v>130</v>
      </c>
      <c r="B29" s="183">
        <v>3000</v>
      </c>
      <c r="C29" s="183">
        <v>0</v>
      </c>
      <c r="D29" s="216">
        <v>3000</v>
      </c>
    </row>
    <row r="30" spans="1:4" thickBot="1" x14ac:dyDescent="0.35">
      <c r="A30" s="150"/>
      <c r="B30" s="167"/>
      <c r="C30" s="167"/>
      <c r="D30" s="34"/>
    </row>
    <row r="31" spans="1:4" thickBot="1" x14ac:dyDescent="0.35">
      <c r="A31" s="184" t="s">
        <v>3</v>
      </c>
      <c r="B31" s="185"/>
      <c r="C31" s="185"/>
      <c r="D31" s="187">
        <v>0</v>
      </c>
    </row>
    <row r="32" spans="1:4" thickBot="1" x14ac:dyDescent="0.35">
      <c r="A32" s="188" t="s">
        <v>130</v>
      </c>
      <c r="B32" s="189"/>
      <c r="C32" s="189"/>
      <c r="D32" s="190">
        <v>0</v>
      </c>
    </row>
    <row r="33" spans="1:4" thickBot="1" x14ac:dyDescent="0.35">
      <c r="A33" s="150"/>
      <c r="B33" s="167"/>
      <c r="C33" s="167"/>
      <c r="D33" s="191"/>
    </row>
    <row r="34" spans="1:4" ht="15.75" thickBot="1" x14ac:dyDescent="0.3">
      <c r="A34" s="192" t="s">
        <v>5</v>
      </c>
      <c r="B34" s="193"/>
      <c r="C34" s="193"/>
      <c r="D34" s="194"/>
    </row>
    <row r="35" spans="1:4" ht="14.45" x14ac:dyDescent="0.3">
      <c r="A35" s="195" t="s">
        <v>138</v>
      </c>
      <c r="B35" s="196"/>
      <c r="C35" s="196">
        <v>23.82</v>
      </c>
      <c r="D35" s="197">
        <v>100</v>
      </c>
    </row>
    <row r="36" spans="1:4" x14ac:dyDescent="0.25">
      <c r="A36" s="198" t="s">
        <v>150</v>
      </c>
      <c r="B36" s="199"/>
      <c r="C36" s="199">
        <v>357548</v>
      </c>
      <c r="D36" s="200">
        <v>400000</v>
      </c>
    </row>
    <row r="37" spans="1:4" ht="14.45" x14ac:dyDescent="0.3">
      <c r="A37" s="198" t="s">
        <v>140</v>
      </c>
      <c r="B37" s="199"/>
      <c r="C37" s="199">
        <v>0</v>
      </c>
      <c r="D37" s="201">
        <v>0</v>
      </c>
    </row>
    <row r="38" spans="1:4" ht="14.45" x14ac:dyDescent="0.3">
      <c r="A38" s="198" t="s">
        <v>141</v>
      </c>
      <c r="B38" s="199"/>
      <c r="C38" s="199">
        <v>0</v>
      </c>
      <c r="D38" s="201">
        <v>0</v>
      </c>
    </row>
    <row r="39" spans="1:4" x14ac:dyDescent="0.25">
      <c r="A39" s="198" t="s">
        <v>142</v>
      </c>
      <c r="B39" s="199"/>
      <c r="C39" s="199">
        <v>330</v>
      </c>
      <c r="D39" s="201">
        <v>500</v>
      </c>
    </row>
    <row r="40" spans="1:4" x14ac:dyDescent="0.25">
      <c r="A40" s="198" t="s">
        <v>151</v>
      </c>
      <c r="B40" s="199"/>
      <c r="C40" s="199">
        <v>4910</v>
      </c>
      <c r="D40" s="201">
        <v>7000</v>
      </c>
    </row>
    <row r="41" spans="1:4" x14ac:dyDescent="0.25">
      <c r="A41" s="198" t="s">
        <v>152</v>
      </c>
      <c r="B41" s="199"/>
      <c r="C41" s="199">
        <v>2500</v>
      </c>
      <c r="D41" s="201">
        <v>0</v>
      </c>
    </row>
    <row r="42" spans="1:4" x14ac:dyDescent="0.25">
      <c r="A42" s="217" t="s">
        <v>153</v>
      </c>
      <c r="B42" s="218"/>
      <c r="C42" s="218">
        <v>187</v>
      </c>
      <c r="D42" s="219">
        <v>0</v>
      </c>
    </row>
    <row r="43" spans="1:4" thickBot="1" x14ac:dyDescent="0.35">
      <c r="A43" s="202" t="s">
        <v>130</v>
      </c>
      <c r="B43" s="203">
        <v>367054</v>
      </c>
      <c r="C43" s="203">
        <f>SUM(C35:C42)</f>
        <v>365498.82</v>
      </c>
      <c r="D43" s="220">
        <f>SUM(D35:D42)</f>
        <v>407600</v>
      </c>
    </row>
    <row r="44" spans="1:4" thickBot="1" x14ac:dyDescent="0.35">
      <c r="A44" s="14"/>
      <c r="B44" s="204"/>
      <c r="C44" s="204"/>
      <c r="D44" s="205"/>
    </row>
    <row r="45" spans="1:4" ht="18.600000000000001" thickBot="1" x14ac:dyDescent="0.4">
      <c r="A45" s="206" t="s">
        <v>10</v>
      </c>
      <c r="B45" s="207">
        <f>B12+B20+B24+B29+B32+B43</f>
        <v>1360375</v>
      </c>
      <c r="C45" s="207">
        <f>C12+C20+C24+C29+C32+C43</f>
        <v>1304306.48</v>
      </c>
      <c r="D45" s="208">
        <f>D43+D32+D29+D24+D20+D12</f>
        <v>1533671</v>
      </c>
    </row>
    <row r="46" spans="1:4" ht="14.45" x14ac:dyDescent="0.3">
      <c r="A46" s="18"/>
      <c r="B46" s="18"/>
      <c r="C46" s="18"/>
      <c r="D46" s="18"/>
    </row>
    <row r="47" spans="1:4" x14ac:dyDescent="0.25">
      <c r="A47" s="221" t="s">
        <v>154</v>
      </c>
      <c r="B47" s="222"/>
      <c r="C47" s="222"/>
      <c r="D47" s="18"/>
    </row>
    <row r="48" spans="1:4" x14ac:dyDescent="0.25">
      <c r="A48" s="576" t="s">
        <v>155</v>
      </c>
      <c r="B48" s="576"/>
      <c r="C48" s="576"/>
      <c r="D48" s="576"/>
    </row>
    <row r="49" spans="1:4" ht="52.9" customHeight="1" x14ac:dyDescent="0.25">
      <c r="A49" s="576" t="s">
        <v>156</v>
      </c>
      <c r="B49" s="576"/>
      <c r="C49" s="576"/>
      <c r="D49" s="576"/>
    </row>
    <row r="50" spans="1:4" ht="14.45" x14ac:dyDescent="0.3">
      <c r="A50" s="18"/>
      <c r="B50" s="18"/>
      <c r="C50" s="18"/>
      <c r="D50" s="18"/>
    </row>
    <row r="51" spans="1:4" ht="14.45" x14ac:dyDescent="0.3">
      <c r="A51" s="18"/>
      <c r="B51" s="18"/>
      <c r="C51" s="18"/>
      <c r="D51" s="18"/>
    </row>
  </sheetData>
  <mergeCells count="2">
    <mergeCell ref="A48:D48"/>
    <mergeCell ref="A49:D49"/>
  </mergeCells>
  <pageMargins left="0.7" right="0.7" top="0.78740157499999996" bottom="0.78740157499999996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19" workbookViewId="0">
      <selection activeCell="E25" sqref="E25"/>
    </sheetView>
  </sheetViews>
  <sheetFormatPr defaultRowHeight="15" x14ac:dyDescent="0.25"/>
  <cols>
    <col min="1" max="1" width="37.7109375" bestFit="1" customWidth="1"/>
    <col min="2" max="2" width="19.42578125" customWidth="1"/>
    <col min="3" max="4" width="21.7109375" customWidth="1"/>
    <col min="6" max="6" width="11.42578125" bestFit="1" customWidth="1"/>
  </cols>
  <sheetData>
    <row r="1" spans="1:6" ht="24" thickBot="1" x14ac:dyDescent="0.4">
      <c r="A1" s="126" t="s">
        <v>116</v>
      </c>
      <c r="B1" s="127"/>
      <c r="C1" s="127"/>
    </row>
    <row r="2" spans="1:6" ht="19.5" thickBot="1" x14ac:dyDescent="0.35">
      <c r="A2" s="128" t="s">
        <v>194</v>
      </c>
      <c r="B2" s="129" t="s">
        <v>102</v>
      </c>
      <c r="C2" s="129" t="s">
        <v>118</v>
      </c>
      <c r="D2" s="130" t="s">
        <v>119</v>
      </c>
    </row>
    <row r="3" spans="1:6" ht="15.75" thickBot="1" x14ac:dyDescent="0.3">
      <c r="A3" s="131" t="s">
        <v>120</v>
      </c>
      <c r="B3" s="132"/>
      <c r="C3" s="132"/>
      <c r="D3" s="133" t="s">
        <v>195</v>
      </c>
    </row>
    <row r="4" spans="1:6" ht="14.45" x14ac:dyDescent="0.3">
      <c r="A4" s="134" t="s">
        <v>122</v>
      </c>
      <c r="B4" s="135"/>
      <c r="C4" s="136">
        <v>2313821</v>
      </c>
      <c r="D4" s="137">
        <v>2596146</v>
      </c>
    </row>
    <row r="5" spans="1:6" x14ac:dyDescent="0.25">
      <c r="A5" s="138" t="s">
        <v>123</v>
      </c>
      <c r="B5" s="139"/>
      <c r="C5" s="140">
        <v>296000</v>
      </c>
      <c r="D5" s="141">
        <v>250000</v>
      </c>
    </row>
    <row r="6" spans="1:6" x14ac:dyDescent="0.25">
      <c r="A6" s="138" t="s">
        <v>124</v>
      </c>
      <c r="B6" s="139"/>
      <c r="C6" s="140">
        <v>949031.29</v>
      </c>
      <c r="D6" s="141">
        <v>1036566.37</v>
      </c>
      <c r="F6" s="50"/>
    </row>
    <row r="7" spans="1:6" x14ac:dyDescent="0.25">
      <c r="A7" s="138" t="s">
        <v>125</v>
      </c>
      <c r="B7" s="139"/>
      <c r="C7" s="140">
        <v>0</v>
      </c>
      <c r="D7" s="142">
        <v>0</v>
      </c>
    </row>
    <row r="8" spans="1:6" x14ac:dyDescent="0.25">
      <c r="A8" s="138" t="s">
        <v>126</v>
      </c>
      <c r="B8" s="139"/>
      <c r="C8" s="140">
        <v>0</v>
      </c>
      <c r="D8" s="142">
        <v>0</v>
      </c>
    </row>
    <row r="9" spans="1:6" ht="14.45" x14ac:dyDescent="0.3">
      <c r="A9" s="138" t="s">
        <v>127</v>
      </c>
      <c r="B9" s="139"/>
      <c r="C9" s="140">
        <v>10050</v>
      </c>
      <c r="D9" s="141"/>
    </row>
    <row r="10" spans="1:6" x14ac:dyDescent="0.25">
      <c r="A10" s="138" t="s">
        <v>128</v>
      </c>
      <c r="B10" s="139"/>
      <c r="C10" s="140">
        <v>83510</v>
      </c>
      <c r="D10" s="141">
        <v>93500</v>
      </c>
    </row>
    <row r="11" spans="1:6" x14ac:dyDescent="0.25">
      <c r="A11" s="138" t="s">
        <v>129</v>
      </c>
      <c r="B11" s="139"/>
      <c r="C11" s="140">
        <v>0</v>
      </c>
      <c r="D11" s="141">
        <v>0</v>
      </c>
    </row>
    <row r="12" spans="1:6" thickBot="1" x14ac:dyDescent="0.35">
      <c r="A12" s="143"/>
      <c r="B12" s="144"/>
      <c r="C12" s="145"/>
      <c r="D12" s="146"/>
      <c r="F12" s="147"/>
    </row>
    <row r="13" spans="1:6" thickBot="1" x14ac:dyDescent="0.35">
      <c r="A13" s="148" t="s">
        <v>130</v>
      </c>
      <c r="B13" s="149">
        <v>3687800</v>
      </c>
      <c r="C13" s="149">
        <f>SUM(C4:C12)</f>
        <v>3652412.29</v>
      </c>
      <c r="D13" s="149">
        <f>SUM(D4:D12)</f>
        <v>3976212.37</v>
      </c>
    </row>
    <row r="14" spans="1:6" thickBot="1" x14ac:dyDescent="0.35">
      <c r="A14" s="150"/>
      <c r="B14" s="151"/>
      <c r="C14" s="151"/>
      <c r="D14" s="152"/>
    </row>
    <row r="15" spans="1:6" ht="15.75" thickBot="1" x14ac:dyDescent="0.3">
      <c r="A15" s="153" t="s">
        <v>1</v>
      </c>
      <c r="B15" s="154"/>
      <c r="C15" s="154"/>
      <c r="D15" s="155"/>
    </row>
    <row r="16" spans="1:6" x14ac:dyDescent="0.25">
      <c r="A16" s="156" t="s">
        <v>131</v>
      </c>
      <c r="B16" s="157"/>
      <c r="C16" s="157">
        <v>25487</v>
      </c>
      <c r="D16" s="158">
        <v>40000</v>
      </c>
    </row>
    <row r="17" spans="1:6" x14ac:dyDescent="0.25">
      <c r="A17" s="159" t="s">
        <v>132</v>
      </c>
      <c r="B17" s="160"/>
      <c r="C17" s="160">
        <v>835</v>
      </c>
      <c r="D17" s="161">
        <v>0</v>
      </c>
    </row>
    <row r="18" spans="1:6" ht="14.45" x14ac:dyDescent="0.3">
      <c r="A18" s="159" t="s">
        <v>133</v>
      </c>
      <c r="B18" s="160"/>
      <c r="C18" s="160">
        <v>11556</v>
      </c>
      <c r="D18" s="161">
        <v>30000</v>
      </c>
      <c r="F18" s="50"/>
    </row>
    <row r="19" spans="1:6" x14ac:dyDescent="0.25">
      <c r="A19" s="162" t="s">
        <v>134</v>
      </c>
      <c r="B19" s="163"/>
      <c r="C19" s="163">
        <v>14119</v>
      </c>
      <c r="D19" s="164">
        <v>3000</v>
      </c>
    </row>
    <row r="20" spans="1:6" thickBot="1" x14ac:dyDescent="0.35">
      <c r="A20" s="162"/>
      <c r="B20" s="163"/>
      <c r="C20" s="163"/>
      <c r="D20" s="164"/>
    </row>
    <row r="21" spans="1:6" thickBot="1" x14ac:dyDescent="0.35">
      <c r="A21" s="165" t="s">
        <v>130</v>
      </c>
      <c r="B21" s="166">
        <v>80000</v>
      </c>
      <c r="C21" s="166">
        <f>SUM(C16:C20)</f>
        <v>51997</v>
      </c>
      <c r="D21" s="224">
        <f>SUM(D16:D20)</f>
        <v>73000</v>
      </c>
    </row>
    <row r="22" spans="1:6" thickBot="1" x14ac:dyDescent="0.35">
      <c r="A22" s="150"/>
      <c r="B22" s="167"/>
      <c r="C22" s="167"/>
      <c r="D22" s="34"/>
    </row>
    <row r="23" spans="1:6" ht="15.75" thickBot="1" x14ac:dyDescent="0.3">
      <c r="A23" s="168" t="s">
        <v>2</v>
      </c>
      <c r="B23" s="169"/>
      <c r="C23" s="169"/>
      <c r="D23" s="170"/>
    </row>
    <row r="24" spans="1:6" ht="15.75" thickBot="1" x14ac:dyDescent="0.3">
      <c r="A24" s="171" t="s">
        <v>135</v>
      </c>
      <c r="B24" s="172"/>
      <c r="C24" s="172">
        <v>2054</v>
      </c>
      <c r="D24" s="173">
        <v>3000</v>
      </c>
    </row>
    <row r="25" spans="1:6" thickBot="1" x14ac:dyDescent="0.35">
      <c r="A25" s="174" t="s">
        <v>130</v>
      </c>
      <c r="B25" s="175">
        <v>3000</v>
      </c>
      <c r="C25" s="175">
        <f>SUM(C23:C24)</f>
        <v>2054</v>
      </c>
      <c r="D25" s="285">
        <f>SUM(D24)</f>
        <v>3000</v>
      </c>
    </row>
    <row r="26" spans="1:6" ht="14.45" x14ac:dyDescent="0.3">
      <c r="A26" s="150"/>
      <c r="B26" s="167"/>
      <c r="C26" s="167"/>
      <c r="D26" s="34"/>
    </row>
    <row r="27" spans="1:6" thickBot="1" x14ac:dyDescent="0.35">
      <c r="A27" s="150"/>
      <c r="B27" s="167"/>
      <c r="C27" s="167"/>
      <c r="D27" s="34"/>
    </row>
    <row r="28" spans="1:6" ht="15.75" thickBot="1" x14ac:dyDescent="0.3">
      <c r="A28" s="176" t="s">
        <v>136</v>
      </c>
      <c r="B28" s="177"/>
      <c r="C28" s="177"/>
      <c r="D28" s="178"/>
    </row>
    <row r="29" spans="1:6" ht="15.75" thickBot="1" x14ac:dyDescent="0.3">
      <c r="A29" s="179" t="s">
        <v>137</v>
      </c>
      <c r="B29" s="180"/>
      <c r="C29" s="180">
        <v>3587</v>
      </c>
      <c r="D29" s="181">
        <v>4500</v>
      </c>
    </row>
    <row r="30" spans="1:6" thickBot="1" x14ac:dyDescent="0.35">
      <c r="A30" s="182" t="s">
        <v>130</v>
      </c>
      <c r="B30" s="183">
        <v>5000</v>
      </c>
      <c r="C30" s="183">
        <f>SUM(C28:C29)</f>
        <v>3587</v>
      </c>
      <c r="D30" s="234">
        <f>SUM(D29)</f>
        <v>4500</v>
      </c>
    </row>
    <row r="31" spans="1:6" thickBot="1" x14ac:dyDescent="0.35">
      <c r="A31" s="150"/>
      <c r="B31" s="167"/>
      <c r="C31" s="167"/>
      <c r="D31" s="34"/>
    </row>
    <row r="32" spans="1:6" thickBot="1" x14ac:dyDescent="0.35">
      <c r="A32" s="184" t="s">
        <v>3</v>
      </c>
      <c r="B32" s="185"/>
      <c r="C32" s="186">
        <v>0</v>
      </c>
      <c r="D32" s="187">
        <v>0</v>
      </c>
    </row>
    <row r="33" spans="1:6" thickBot="1" x14ac:dyDescent="0.35">
      <c r="A33" s="188" t="s">
        <v>130</v>
      </c>
      <c r="B33" s="189">
        <v>0</v>
      </c>
      <c r="C33" s="189">
        <v>0</v>
      </c>
      <c r="D33" s="190">
        <v>0</v>
      </c>
    </row>
    <row r="34" spans="1:6" thickBot="1" x14ac:dyDescent="0.35">
      <c r="A34" s="150"/>
      <c r="B34" s="167"/>
      <c r="C34" s="167"/>
      <c r="D34" s="191"/>
    </row>
    <row r="35" spans="1:6" ht="15.75" thickBot="1" x14ac:dyDescent="0.3">
      <c r="A35" s="192" t="s">
        <v>5</v>
      </c>
      <c r="B35" s="193"/>
      <c r="C35" s="193"/>
      <c r="D35" s="194"/>
    </row>
    <row r="36" spans="1:6" ht="14.45" x14ac:dyDescent="0.3">
      <c r="A36" s="195" t="s">
        <v>138</v>
      </c>
      <c r="B36" s="196"/>
      <c r="C36" s="196">
        <v>6255.52</v>
      </c>
      <c r="D36" s="197">
        <v>6500</v>
      </c>
    </row>
    <row r="37" spans="1:6" x14ac:dyDescent="0.25">
      <c r="A37" s="198" t="s">
        <v>139</v>
      </c>
      <c r="B37" s="199"/>
      <c r="C37" s="199">
        <v>2044</v>
      </c>
      <c r="D37" s="200">
        <v>3000</v>
      </c>
    </row>
    <row r="38" spans="1:6" ht="14.45" x14ac:dyDescent="0.3">
      <c r="A38" s="198" t="s">
        <v>140</v>
      </c>
      <c r="B38" s="199"/>
      <c r="C38" s="199">
        <v>0</v>
      </c>
      <c r="D38" s="201">
        <v>0</v>
      </c>
    </row>
    <row r="39" spans="1:6" ht="14.45" x14ac:dyDescent="0.3">
      <c r="A39" s="198" t="s">
        <v>141</v>
      </c>
      <c r="B39" s="199"/>
      <c r="C39" s="199">
        <v>0</v>
      </c>
      <c r="D39" s="201">
        <v>0</v>
      </c>
      <c r="F39" s="50"/>
    </row>
    <row r="40" spans="1:6" x14ac:dyDescent="0.25">
      <c r="A40" s="198" t="s">
        <v>142</v>
      </c>
      <c r="B40" s="199"/>
      <c r="C40" s="199">
        <v>2820</v>
      </c>
      <c r="D40" s="201">
        <v>3000</v>
      </c>
    </row>
    <row r="41" spans="1:6" ht="14.45" x14ac:dyDescent="0.3">
      <c r="A41" s="198" t="s">
        <v>171</v>
      </c>
      <c r="B41" s="199"/>
      <c r="C41" s="199">
        <v>3034</v>
      </c>
      <c r="D41" s="201">
        <v>5000</v>
      </c>
    </row>
    <row r="42" spans="1:6" ht="15.75" thickBot="1" x14ac:dyDescent="0.3">
      <c r="A42" s="202" t="s">
        <v>130</v>
      </c>
      <c r="B42" s="203">
        <v>18000</v>
      </c>
      <c r="C42" s="203">
        <f>SUM(C36:C41)</f>
        <v>14153.52</v>
      </c>
      <c r="D42" s="220">
        <f>SUM(D36:D41)</f>
        <v>17500</v>
      </c>
    </row>
    <row r="43" spans="1:6" ht="15.75" thickBot="1" x14ac:dyDescent="0.3">
      <c r="A43" s="14"/>
      <c r="B43" s="204"/>
      <c r="C43" s="204"/>
      <c r="D43" s="205"/>
    </row>
    <row r="44" spans="1:6" ht="19.5" thickBot="1" x14ac:dyDescent="0.35">
      <c r="A44" s="206" t="s">
        <v>10</v>
      </c>
      <c r="B44" s="207">
        <f>B13+B21+B25+B30+B33+B42</f>
        <v>3793800</v>
      </c>
      <c r="C44" s="207">
        <f>C13+C21+C25+C30+C33+C42</f>
        <v>3724203.81</v>
      </c>
      <c r="D44" s="208">
        <f>D42+D33+D30+D25+D21+D13</f>
        <v>4074212.37</v>
      </c>
    </row>
    <row r="45" spans="1:6" x14ac:dyDescent="0.25">
      <c r="A45" s="18"/>
      <c r="B45" s="18"/>
      <c r="C45" s="18"/>
      <c r="D45" s="18"/>
    </row>
    <row r="46" spans="1:6" ht="9.6" customHeight="1" x14ac:dyDescent="0.25">
      <c r="A46" s="575"/>
      <c r="B46" s="575"/>
      <c r="C46" s="575"/>
      <c r="D46" s="575"/>
    </row>
    <row r="47" spans="1:6" ht="14.45" hidden="1" x14ac:dyDescent="0.3">
      <c r="A47" s="18"/>
      <c r="B47" s="18"/>
      <c r="C47" s="18"/>
      <c r="D47" s="18"/>
    </row>
    <row r="48" spans="1:6" ht="49.5" customHeight="1" x14ac:dyDescent="0.25">
      <c r="A48" s="576" t="s">
        <v>196</v>
      </c>
      <c r="B48" s="576"/>
      <c r="C48" s="576"/>
      <c r="D48" s="576"/>
    </row>
    <row r="49" spans="1:4" ht="60" customHeight="1" x14ac:dyDescent="0.25">
      <c r="A49" s="209"/>
      <c r="B49" s="209"/>
      <c r="C49" s="209"/>
      <c r="D49" s="209"/>
    </row>
    <row r="50" spans="1:4" x14ac:dyDescent="0.25">
      <c r="A50" s="210"/>
      <c r="B50" s="211"/>
      <c r="C50" s="211"/>
      <c r="D50" s="211"/>
    </row>
  </sheetData>
  <mergeCells count="2">
    <mergeCell ref="A46:D46"/>
    <mergeCell ref="A48:D48"/>
  </mergeCells>
  <pageMargins left="0.7" right="0.7" top="0.78740157499999996" bottom="0.78740157499999996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6" zoomScaleNormal="100" workbookViewId="0">
      <selection activeCell="A44" sqref="A44"/>
    </sheetView>
  </sheetViews>
  <sheetFormatPr defaultRowHeight="15" x14ac:dyDescent="0.25"/>
  <cols>
    <col min="1" max="1" width="43.5703125" customWidth="1"/>
    <col min="2" max="2" width="12.42578125" style="50" hidden="1" customWidth="1"/>
    <col min="3" max="3" width="14" style="50" hidden="1" customWidth="1"/>
    <col min="4" max="4" width="14.28515625" style="50" customWidth="1"/>
    <col min="5" max="5" width="15.140625" hidden="1" customWidth="1"/>
    <col min="6" max="6" width="17.42578125" customWidth="1"/>
    <col min="7" max="7" width="20.28515625" customWidth="1"/>
  </cols>
  <sheetData>
    <row r="1" spans="1:9" ht="19.5" thickBot="1" x14ac:dyDescent="0.35">
      <c r="A1" s="127" t="s">
        <v>164</v>
      </c>
    </row>
    <row r="2" spans="1:9" ht="15.75" thickBot="1" x14ac:dyDescent="0.3">
      <c r="A2" s="245" t="s">
        <v>165</v>
      </c>
      <c r="B2" s="246" t="s">
        <v>166</v>
      </c>
      <c r="C2" s="246" t="s">
        <v>167</v>
      </c>
      <c r="D2" s="247" t="s">
        <v>102</v>
      </c>
      <c r="E2" s="248" t="s">
        <v>168</v>
      </c>
      <c r="F2" s="247" t="s">
        <v>118</v>
      </c>
      <c r="G2" s="247" t="s">
        <v>119</v>
      </c>
    </row>
    <row r="3" spans="1:9" ht="15.75" thickBot="1" x14ac:dyDescent="0.3">
      <c r="A3" s="577" t="s">
        <v>120</v>
      </c>
      <c r="B3" s="578"/>
      <c r="C3" s="249"/>
      <c r="D3" s="249"/>
      <c r="E3" s="250"/>
      <c r="F3" s="249"/>
      <c r="G3" s="249" t="s">
        <v>169</v>
      </c>
    </row>
    <row r="4" spans="1:9" ht="14.45" x14ac:dyDescent="0.3">
      <c r="A4" s="134" t="s">
        <v>122</v>
      </c>
      <c r="B4" s="251"/>
      <c r="C4" s="251"/>
      <c r="D4" s="251">
        <v>1650000</v>
      </c>
      <c r="E4" s="252"/>
      <c r="F4" s="251">
        <v>1635186</v>
      </c>
      <c r="G4" s="251">
        <v>2130607</v>
      </c>
    </row>
    <row r="5" spans="1:9" x14ac:dyDescent="0.25">
      <c r="A5" s="138" t="s">
        <v>123</v>
      </c>
      <c r="B5" s="140"/>
      <c r="C5" s="140"/>
      <c r="D5" s="140">
        <v>400000</v>
      </c>
      <c r="E5" s="252"/>
      <c r="F5" s="140">
        <v>402000</v>
      </c>
      <c r="G5" s="140">
        <v>275000</v>
      </c>
    </row>
    <row r="6" spans="1:9" x14ac:dyDescent="0.25">
      <c r="A6" s="138" t="s">
        <v>170</v>
      </c>
      <c r="B6" s="140"/>
      <c r="C6" s="140"/>
      <c r="D6" s="140">
        <f>(D4+D5)*0.3592</f>
        <v>736360</v>
      </c>
      <c r="E6" s="252"/>
      <c r="F6" s="140">
        <v>740965.02</v>
      </c>
      <c r="G6" s="140">
        <f>(G4+G5)*0.3642</f>
        <v>876122.06940000004</v>
      </c>
    </row>
    <row r="7" spans="1:9" x14ac:dyDescent="0.25">
      <c r="A7" s="138" t="s">
        <v>125</v>
      </c>
      <c r="B7" s="140"/>
      <c r="C7" s="140"/>
      <c r="D7" s="140">
        <v>0</v>
      </c>
      <c r="E7" s="252"/>
      <c r="F7" s="140"/>
      <c r="G7" s="140">
        <v>0</v>
      </c>
    </row>
    <row r="8" spans="1:9" x14ac:dyDescent="0.25">
      <c r="A8" s="138" t="s">
        <v>126</v>
      </c>
      <c r="B8" s="140"/>
      <c r="C8" s="140"/>
      <c r="D8" s="140">
        <v>0</v>
      </c>
      <c r="E8" s="252"/>
      <c r="F8" s="140"/>
      <c r="G8" s="140">
        <v>0</v>
      </c>
    </row>
    <row r="9" spans="1:9" ht="14.45" x14ac:dyDescent="0.3">
      <c r="A9" s="138" t="s">
        <v>127</v>
      </c>
      <c r="B9" s="140"/>
      <c r="C9" s="140"/>
      <c r="D9" s="140">
        <v>130000</v>
      </c>
      <c r="E9" s="252"/>
      <c r="F9" s="140">
        <v>5375</v>
      </c>
      <c r="G9" s="140">
        <v>10000</v>
      </c>
    </row>
    <row r="10" spans="1:9" x14ac:dyDescent="0.25">
      <c r="A10" s="138" t="s">
        <v>128</v>
      </c>
      <c r="B10" s="140"/>
      <c r="C10" s="140"/>
      <c r="D10" s="140">
        <v>58000</v>
      </c>
      <c r="E10" s="252"/>
      <c r="F10" s="140">
        <v>59504</v>
      </c>
      <c r="G10" s="140">
        <v>69097</v>
      </c>
      <c r="I10" s="50"/>
    </row>
    <row r="11" spans="1:9" x14ac:dyDescent="0.25">
      <c r="A11" s="138" t="s">
        <v>129</v>
      </c>
      <c r="B11" s="140"/>
      <c r="C11" s="140"/>
      <c r="D11" s="140">
        <v>1000</v>
      </c>
      <c r="E11" s="252"/>
      <c r="F11" s="140">
        <v>350</v>
      </c>
      <c r="G11" s="140">
        <v>1000</v>
      </c>
    </row>
    <row r="12" spans="1:9" ht="14.45" x14ac:dyDescent="0.3">
      <c r="A12" s="143"/>
      <c r="B12" s="145"/>
      <c r="C12" s="140"/>
      <c r="D12" s="140"/>
      <c r="E12" s="252"/>
      <c r="F12" s="140"/>
      <c r="G12" s="140"/>
    </row>
    <row r="13" spans="1:9" thickBot="1" x14ac:dyDescent="0.35">
      <c r="A13" s="253" t="s">
        <v>130</v>
      </c>
      <c r="B13" s="254">
        <v>3186000</v>
      </c>
      <c r="C13" s="254">
        <v>3270330</v>
      </c>
      <c r="D13" s="254">
        <f>SUM(D4:D12)</f>
        <v>2975360</v>
      </c>
      <c r="E13" s="255">
        <f>D13</f>
        <v>2975360</v>
      </c>
      <c r="F13" s="254">
        <v>2843380</v>
      </c>
      <c r="G13" s="254">
        <f>SUM(G4:G12)</f>
        <v>3361826.0693999999</v>
      </c>
    </row>
    <row r="14" spans="1:9" thickBot="1" x14ac:dyDescent="0.35">
      <c r="A14" s="150"/>
      <c r="B14" s="256"/>
      <c r="C14" s="249"/>
      <c r="D14" s="249"/>
      <c r="E14" s="250"/>
      <c r="F14" s="249"/>
      <c r="G14" s="249"/>
    </row>
    <row r="15" spans="1:9" ht="15.75" thickBot="1" x14ac:dyDescent="0.3">
      <c r="A15" s="577" t="s">
        <v>1</v>
      </c>
      <c r="B15" s="578"/>
      <c r="C15" s="249"/>
      <c r="D15" s="249"/>
      <c r="E15" s="250"/>
      <c r="F15" s="249"/>
      <c r="G15" s="249"/>
    </row>
    <row r="16" spans="1:9" x14ac:dyDescent="0.25">
      <c r="A16" s="156" t="s">
        <v>131</v>
      </c>
      <c r="B16" s="257"/>
      <c r="C16" s="257"/>
      <c r="D16" s="257">
        <v>40000</v>
      </c>
      <c r="E16" s="258"/>
      <c r="F16" s="257">
        <v>7433</v>
      </c>
      <c r="G16" s="257">
        <v>10000</v>
      </c>
    </row>
    <row r="17" spans="1:12" x14ac:dyDescent="0.25">
      <c r="A17" s="159" t="s">
        <v>132</v>
      </c>
      <c r="B17" s="160"/>
      <c r="C17" s="160"/>
      <c r="D17" s="160">
        <v>50000</v>
      </c>
      <c r="E17" s="258"/>
      <c r="F17" s="160">
        <v>1670</v>
      </c>
      <c r="G17" s="160">
        <v>30000</v>
      </c>
    </row>
    <row r="18" spans="1:12" ht="14.45" x14ac:dyDescent="0.3">
      <c r="A18" s="159" t="s">
        <v>133</v>
      </c>
      <c r="B18" s="160"/>
      <c r="C18" s="160"/>
      <c r="D18" s="160">
        <v>5000</v>
      </c>
      <c r="E18" s="258"/>
      <c r="F18" s="160"/>
      <c r="G18" s="160">
        <v>90000</v>
      </c>
    </row>
    <row r="19" spans="1:12" x14ac:dyDescent="0.25">
      <c r="A19" s="162" t="s">
        <v>134</v>
      </c>
      <c r="B19" s="163"/>
      <c r="C19" s="160"/>
      <c r="D19" s="160">
        <v>5000</v>
      </c>
      <c r="E19" s="258"/>
      <c r="F19" s="160">
        <v>27853</v>
      </c>
      <c r="G19" s="160">
        <v>5000</v>
      </c>
    </row>
    <row r="20" spans="1:12" ht="14.45" x14ac:dyDescent="0.3">
      <c r="A20" s="162"/>
      <c r="B20" s="163"/>
      <c r="C20" s="160"/>
      <c r="D20" s="160"/>
      <c r="E20" s="258"/>
      <c r="F20" s="160"/>
      <c r="G20" s="160"/>
      <c r="L20" s="50"/>
    </row>
    <row r="21" spans="1:12" thickBot="1" x14ac:dyDescent="0.35">
      <c r="A21" s="259" t="s">
        <v>130</v>
      </c>
      <c r="B21" s="260">
        <v>172000</v>
      </c>
      <c r="C21" s="260">
        <v>49519</v>
      </c>
      <c r="D21" s="260">
        <f>SUM(D16:D20)</f>
        <v>100000</v>
      </c>
      <c r="E21" s="261">
        <f>D21</f>
        <v>100000</v>
      </c>
      <c r="F21" s="260">
        <v>36956</v>
      </c>
      <c r="G21" s="260">
        <f>SUM(G16:G20)</f>
        <v>135000</v>
      </c>
    </row>
    <row r="22" spans="1:12" ht="15.75" thickBot="1" x14ac:dyDescent="0.3">
      <c r="A22" s="577" t="s">
        <v>2</v>
      </c>
      <c r="B22" s="578"/>
      <c r="C22" s="249"/>
      <c r="D22" s="249"/>
      <c r="E22" s="250"/>
      <c r="F22" s="249"/>
      <c r="G22" s="249"/>
    </row>
    <row r="23" spans="1:12" x14ac:dyDescent="0.25">
      <c r="A23" s="262" t="s">
        <v>135</v>
      </c>
      <c r="B23" s="263"/>
      <c r="C23" s="263"/>
      <c r="D23" s="263">
        <v>8000</v>
      </c>
      <c r="E23" s="264"/>
      <c r="F23" s="263">
        <v>6297</v>
      </c>
      <c r="G23" s="263">
        <v>20000</v>
      </c>
    </row>
    <row r="24" spans="1:12" thickBot="1" x14ac:dyDescent="0.35">
      <c r="A24" s="265" t="s">
        <v>130</v>
      </c>
      <c r="B24" s="266">
        <v>8000</v>
      </c>
      <c r="C24" s="266">
        <v>700</v>
      </c>
      <c r="D24" s="266">
        <f>D23</f>
        <v>8000</v>
      </c>
      <c r="E24" s="267">
        <f>D24</f>
        <v>8000</v>
      </c>
      <c r="F24" s="266">
        <v>6297</v>
      </c>
      <c r="G24" s="266">
        <f>G23</f>
        <v>20000</v>
      </c>
    </row>
    <row r="25" spans="1:12" ht="15.75" thickBot="1" x14ac:dyDescent="0.3">
      <c r="A25" s="577" t="s">
        <v>136</v>
      </c>
      <c r="B25" s="578"/>
      <c r="C25" s="249"/>
      <c r="D25" s="249"/>
      <c r="E25" s="250"/>
      <c r="F25" s="249"/>
      <c r="G25" s="249"/>
    </row>
    <row r="26" spans="1:12" x14ac:dyDescent="0.25">
      <c r="A26" s="268" t="s">
        <v>137</v>
      </c>
      <c r="B26" s="233"/>
      <c r="C26" s="233"/>
      <c r="D26" s="233">
        <v>10000</v>
      </c>
      <c r="E26" s="269"/>
      <c r="F26" s="233">
        <v>2412</v>
      </c>
      <c r="G26" s="233">
        <v>10000</v>
      </c>
    </row>
    <row r="27" spans="1:12" thickBot="1" x14ac:dyDescent="0.35">
      <c r="A27" s="270" t="s">
        <v>130</v>
      </c>
      <c r="B27" s="271">
        <v>10000</v>
      </c>
      <c r="C27" s="271">
        <v>2117</v>
      </c>
      <c r="D27" s="271">
        <f>D26</f>
        <v>10000</v>
      </c>
      <c r="E27" s="272">
        <f>D27</f>
        <v>10000</v>
      </c>
      <c r="F27" s="271">
        <v>2412</v>
      </c>
      <c r="G27" s="271">
        <f>G26</f>
        <v>10000</v>
      </c>
    </row>
    <row r="28" spans="1:12" thickBot="1" x14ac:dyDescent="0.35">
      <c r="A28" s="577" t="s">
        <v>3</v>
      </c>
      <c r="B28" s="578"/>
      <c r="C28" s="249"/>
      <c r="D28" s="249"/>
      <c r="E28" s="250"/>
      <c r="F28" s="249"/>
      <c r="G28" s="249"/>
    </row>
    <row r="29" spans="1:12" thickBot="1" x14ac:dyDescent="0.35">
      <c r="A29" s="273" t="s">
        <v>130</v>
      </c>
      <c r="B29" s="249">
        <v>0</v>
      </c>
      <c r="C29" s="249">
        <v>0</v>
      </c>
      <c r="D29" s="249">
        <v>0</v>
      </c>
      <c r="E29" s="250"/>
      <c r="F29" s="249">
        <v>0</v>
      </c>
      <c r="G29" s="249">
        <v>0</v>
      </c>
    </row>
    <row r="30" spans="1:12" ht="15.75" thickBot="1" x14ac:dyDescent="0.3">
      <c r="A30" s="577" t="s">
        <v>5</v>
      </c>
      <c r="B30" s="578"/>
      <c r="C30" s="249"/>
      <c r="D30" s="249"/>
      <c r="E30" s="250"/>
      <c r="F30" s="249"/>
      <c r="G30" s="249"/>
    </row>
    <row r="31" spans="1:12" ht="14.45" x14ac:dyDescent="0.3">
      <c r="A31" s="195" t="s">
        <v>138</v>
      </c>
      <c r="B31" s="274"/>
      <c r="C31" s="274"/>
      <c r="D31" s="274">
        <v>10000</v>
      </c>
      <c r="E31" s="275"/>
      <c r="F31" s="274">
        <v>2031.36</v>
      </c>
      <c r="G31" s="274">
        <v>4000</v>
      </c>
    </row>
    <row r="32" spans="1:12" x14ac:dyDescent="0.25">
      <c r="A32" s="198" t="s">
        <v>139</v>
      </c>
      <c r="B32" s="199"/>
      <c r="C32" s="199"/>
      <c r="D32" s="199">
        <v>5000</v>
      </c>
      <c r="E32" s="275"/>
      <c r="F32" s="199">
        <v>1073</v>
      </c>
      <c r="G32" s="199">
        <v>2000</v>
      </c>
    </row>
    <row r="33" spans="1:9" ht="14.45" x14ac:dyDescent="0.3">
      <c r="A33" s="198" t="s">
        <v>140</v>
      </c>
      <c r="B33" s="199"/>
      <c r="C33" s="199"/>
      <c r="D33" s="199">
        <v>0</v>
      </c>
      <c r="E33" s="275"/>
      <c r="F33" s="199"/>
      <c r="G33" s="199">
        <v>0</v>
      </c>
    </row>
    <row r="34" spans="1:9" ht="14.45" x14ac:dyDescent="0.3">
      <c r="A34" s="198" t="s">
        <v>141</v>
      </c>
      <c r="B34" s="199"/>
      <c r="C34" s="199"/>
      <c r="D34" s="199">
        <v>0</v>
      </c>
      <c r="E34" s="275"/>
      <c r="F34" s="199"/>
      <c r="G34" s="199">
        <v>0</v>
      </c>
      <c r="I34" s="50"/>
    </row>
    <row r="35" spans="1:9" x14ac:dyDescent="0.25">
      <c r="A35" s="198" t="s">
        <v>142</v>
      </c>
      <c r="B35" s="199"/>
      <c r="C35" s="199"/>
      <c r="D35" s="199">
        <f>5*10000</f>
        <v>50000</v>
      </c>
      <c r="E35" s="275"/>
      <c r="F35" s="199">
        <v>-3470</v>
      </c>
      <c r="G35" s="199">
        <f>5*10000</f>
        <v>50000</v>
      </c>
    </row>
    <row r="36" spans="1:9" ht="14.45" x14ac:dyDescent="0.3">
      <c r="A36" s="198" t="s">
        <v>171</v>
      </c>
      <c r="B36" s="199"/>
      <c r="C36" s="199"/>
      <c r="D36" s="199"/>
      <c r="E36" s="275"/>
      <c r="F36" s="199">
        <v>27591</v>
      </c>
      <c r="G36" s="199"/>
    </row>
    <row r="37" spans="1:9" thickBot="1" x14ac:dyDescent="0.35">
      <c r="A37" s="202" t="s">
        <v>130</v>
      </c>
      <c r="B37" s="276">
        <v>78000</v>
      </c>
      <c r="C37" s="276">
        <v>39044</v>
      </c>
      <c r="D37" s="276">
        <f>SUM(D31:D36)</f>
        <v>65000</v>
      </c>
      <c r="E37" s="277">
        <f>D37</f>
        <v>65000</v>
      </c>
      <c r="F37" s="276">
        <v>27225</v>
      </c>
      <c r="G37" s="276">
        <f>SUM(G31:G36)</f>
        <v>56000</v>
      </c>
    </row>
    <row r="38" spans="1:9" thickBot="1" x14ac:dyDescent="0.35">
      <c r="A38" s="18"/>
      <c r="B38" s="278"/>
      <c r="E38" s="250"/>
      <c r="F38" s="50"/>
      <c r="G38" s="50"/>
    </row>
    <row r="39" spans="1:9" thickBot="1" x14ac:dyDescent="0.35">
      <c r="A39" s="279" t="s">
        <v>10</v>
      </c>
      <c r="B39" s="280">
        <f>B13+B21+B24+B27+B29+B37</f>
        <v>3454000</v>
      </c>
      <c r="C39" s="280">
        <f t="shared" ref="C39" si="0">C13+C21+C24+C27+C29+C37</f>
        <v>3361710</v>
      </c>
      <c r="D39" s="280">
        <f>D13+D21+D24+D27+D29+D37</f>
        <v>3158360</v>
      </c>
      <c r="E39" s="280">
        <f t="shared" ref="E39:F39" si="1">E13+E21+E24+E27+E29+E37</f>
        <v>3158360</v>
      </c>
      <c r="F39" s="280">
        <f t="shared" si="1"/>
        <v>2916270</v>
      </c>
      <c r="G39" s="280">
        <f>G13+G21+G24+G27+G29+G37</f>
        <v>3582826.0693999999</v>
      </c>
    </row>
    <row r="40" spans="1:9" x14ac:dyDescent="0.25">
      <c r="A40" s="18"/>
      <c r="B40" s="278"/>
    </row>
    <row r="41" spans="1:9" ht="28.15" customHeight="1" x14ac:dyDescent="0.25">
      <c r="A41" s="575" t="s">
        <v>172</v>
      </c>
      <c r="B41" s="575"/>
      <c r="C41" s="575"/>
      <c r="D41" s="575"/>
      <c r="E41" s="575"/>
      <c r="F41" s="575"/>
      <c r="G41" s="575"/>
    </row>
    <row r="42" spans="1:9" ht="12" customHeight="1" x14ac:dyDescent="0.25">
      <c r="A42" s="576"/>
      <c r="B42" s="576"/>
      <c r="C42" s="576"/>
      <c r="D42" s="576"/>
      <c r="E42" s="576"/>
      <c r="F42" s="576"/>
      <c r="G42" s="576"/>
    </row>
    <row r="43" spans="1:9" ht="32.450000000000003" customHeight="1" x14ac:dyDescent="0.25">
      <c r="A43" s="576" t="s">
        <v>303</v>
      </c>
      <c r="B43" s="576"/>
      <c r="C43" s="576"/>
      <c r="D43" s="576"/>
      <c r="E43" s="576"/>
      <c r="F43" s="576"/>
      <c r="G43" s="576"/>
    </row>
    <row r="44" spans="1:9" x14ac:dyDescent="0.25">
      <c r="A44" s="18"/>
      <c r="B44" s="278"/>
    </row>
    <row r="45" spans="1:9" x14ac:dyDescent="0.25">
      <c r="A45" s="18"/>
      <c r="B45" s="278"/>
    </row>
  </sheetData>
  <mergeCells count="9">
    <mergeCell ref="A41:G41"/>
    <mergeCell ref="A42:G42"/>
    <mergeCell ref="A43:G43"/>
    <mergeCell ref="A3:B3"/>
    <mergeCell ref="A15:B15"/>
    <mergeCell ref="A22:B22"/>
    <mergeCell ref="A25:B25"/>
    <mergeCell ref="A28:B28"/>
    <mergeCell ref="A30:B30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7</vt:i4>
      </vt:variant>
    </vt:vector>
  </HeadingPairs>
  <TitlesOfParts>
    <vt:vector size="35" baseType="lpstr">
      <vt:lpstr>NEW</vt:lpstr>
      <vt:lpstr>NEW (2)</vt:lpstr>
      <vt:lpstr>celkový plán 2018</vt:lpstr>
      <vt:lpstr>Zdůvodnění navýšení ON</vt:lpstr>
      <vt:lpstr>Zdůvodnění navýšení ostatní</vt:lpstr>
      <vt:lpstr>3900</vt:lpstr>
      <vt:lpstr>3923</vt:lpstr>
      <vt:lpstr>3901</vt:lpstr>
      <vt:lpstr>3903</vt:lpstr>
      <vt:lpstr>3904</vt:lpstr>
      <vt:lpstr>3905</vt:lpstr>
      <vt:lpstr>3906</vt:lpstr>
      <vt:lpstr>3907</vt:lpstr>
      <vt:lpstr>3908</vt:lpstr>
      <vt:lpstr>3911 </vt:lpstr>
      <vt:lpstr>3913</vt:lpstr>
      <vt:lpstr>3940 </vt:lpstr>
      <vt:lpstr>3916</vt:lpstr>
      <vt:lpstr>3914</vt:lpstr>
      <vt:lpstr>3941</vt:lpstr>
      <vt:lpstr>3912</vt:lpstr>
      <vt:lpstr>3919</vt:lpstr>
      <vt:lpstr>3918</vt:lpstr>
      <vt:lpstr>3915</vt:lpstr>
      <vt:lpstr>3917</vt:lpstr>
      <vt:lpstr>3740</vt:lpstr>
      <vt:lpstr>3960</vt:lpstr>
      <vt:lpstr>3210</vt:lpstr>
      <vt:lpstr>'3912'!Oblast_tisku</vt:lpstr>
      <vt:lpstr>'3913'!Oblast_tisku</vt:lpstr>
      <vt:lpstr>'3940 '!Oblast_tisku</vt:lpstr>
      <vt:lpstr>'celkový plán 2018'!Oblast_tisku</vt:lpstr>
      <vt:lpstr>'NEW (2)'!Oblast_tisku</vt:lpstr>
      <vt:lpstr>'Zdůvodnění navýšení ON'!Oblast_tisku</vt:lpstr>
      <vt:lpstr>'Zdůvodnění navýšení ostatní'!Oblast_tisku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Lenka Copková</dc:creator>
  <cp:lastModifiedBy>Doc. RNDr. Martin Kubala, Ph.D.</cp:lastModifiedBy>
  <cp:lastPrinted>2018-03-20T22:33:41Z</cp:lastPrinted>
  <dcterms:created xsi:type="dcterms:W3CDTF">2016-03-08T12:55:56Z</dcterms:created>
  <dcterms:modified xsi:type="dcterms:W3CDTF">2018-03-29T08:51:04Z</dcterms:modified>
</cp:coreProperties>
</file>