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376" windowHeight="12528"/>
  </bookViews>
  <sheets>
    <sheet name="Přehled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V9" i="1" l="1"/>
  <c r="N61" i="1" l="1"/>
  <c r="K61" i="1"/>
  <c r="I61" i="1"/>
  <c r="Y60" i="1"/>
  <c r="M60" i="1"/>
  <c r="L60" i="1"/>
  <c r="J60" i="1"/>
  <c r="O60" i="1" s="1"/>
  <c r="X60" i="1" s="1"/>
  <c r="AB59" i="1" s="1"/>
  <c r="G60" i="1"/>
  <c r="U59" i="1"/>
  <c r="T59" i="1"/>
  <c r="Y59" i="1" s="1"/>
  <c r="S59" i="1"/>
  <c r="R59" i="1"/>
  <c r="Q59" i="1"/>
  <c r="M59" i="1"/>
  <c r="L59" i="1"/>
  <c r="J59" i="1"/>
  <c r="O59" i="1" s="1"/>
  <c r="G59" i="1"/>
  <c r="U58" i="1"/>
  <c r="T58" i="1"/>
  <c r="Y58" i="1" s="1"/>
  <c r="S58" i="1"/>
  <c r="R58" i="1"/>
  <c r="Q58" i="1"/>
  <c r="M58" i="1"/>
  <c r="L58" i="1"/>
  <c r="J58" i="1"/>
  <c r="O58" i="1" s="1"/>
  <c r="X58" i="1" s="1"/>
  <c r="AB57" i="1" s="1"/>
  <c r="G58" i="1"/>
  <c r="U57" i="1"/>
  <c r="T57" i="1"/>
  <c r="Y57" i="1" s="1"/>
  <c r="S57" i="1"/>
  <c r="R57" i="1"/>
  <c r="Q57" i="1"/>
  <c r="M57" i="1"/>
  <c r="L57" i="1"/>
  <c r="J57" i="1"/>
  <c r="O57" i="1" s="1"/>
  <c r="X57" i="1" s="1"/>
  <c r="AB56" i="1" s="1"/>
  <c r="H57" i="1"/>
  <c r="G57" i="1"/>
  <c r="U56" i="1"/>
  <c r="T56" i="1"/>
  <c r="S56" i="1"/>
  <c r="R56" i="1"/>
  <c r="Q56" i="1"/>
  <c r="P56" i="1"/>
  <c r="Y56" i="1" s="1"/>
  <c r="M56" i="1"/>
  <c r="L56" i="1"/>
  <c r="J56" i="1"/>
  <c r="O56" i="1" s="1"/>
  <c r="X56" i="1" s="1"/>
  <c r="AB55" i="1" s="1"/>
  <c r="G56" i="1"/>
  <c r="U55" i="1"/>
  <c r="T55" i="1"/>
  <c r="Y55" i="1" s="1"/>
  <c r="S55" i="1"/>
  <c r="R55" i="1"/>
  <c r="Q55" i="1"/>
  <c r="M55" i="1"/>
  <c r="L55" i="1"/>
  <c r="J55" i="1"/>
  <c r="O55" i="1" s="1"/>
  <c r="X55" i="1" s="1"/>
  <c r="AB54" i="1" s="1"/>
  <c r="G55" i="1"/>
  <c r="T54" i="1"/>
  <c r="Y54" i="1" s="1"/>
  <c r="S54" i="1"/>
  <c r="R54" i="1"/>
  <c r="Q54" i="1"/>
  <c r="M54" i="1"/>
  <c r="L54" i="1"/>
  <c r="J54" i="1"/>
  <c r="H54" i="1"/>
  <c r="G54" i="1" s="1"/>
  <c r="U53" i="1"/>
  <c r="T53" i="1"/>
  <c r="Y53" i="1" s="1"/>
  <c r="S53" i="1"/>
  <c r="R53" i="1"/>
  <c r="Q53" i="1"/>
  <c r="M53" i="1"/>
  <c r="L53" i="1"/>
  <c r="O53" i="1" s="1"/>
  <c r="X53" i="1" s="1"/>
  <c r="U52" i="1"/>
  <c r="T52" i="1"/>
  <c r="Y52" i="1" s="1"/>
  <c r="S52" i="1"/>
  <c r="R52" i="1"/>
  <c r="Q52" i="1"/>
  <c r="M52" i="1"/>
  <c r="L52" i="1"/>
  <c r="O52" i="1" s="1"/>
  <c r="X52" i="1" s="1"/>
  <c r="U51" i="1"/>
  <c r="T51" i="1"/>
  <c r="Y51" i="1" s="1"/>
  <c r="S51" i="1"/>
  <c r="R51" i="1"/>
  <c r="Q51" i="1"/>
  <c r="M51" i="1"/>
  <c r="L51" i="1"/>
  <c r="O51" i="1" s="1"/>
  <c r="X51" i="1" s="1"/>
  <c r="AB50" i="1" s="1"/>
  <c r="U50" i="1"/>
  <c r="T50" i="1"/>
  <c r="S50" i="1"/>
  <c r="R50" i="1"/>
  <c r="Q50" i="1"/>
  <c r="P50" i="1"/>
  <c r="Y50" i="1" s="1"/>
  <c r="M50" i="1"/>
  <c r="L50" i="1"/>
  <c r="J50" i="1"/>
  <c r="O50" i="1" s="1"/>
  <c r="X50" i="1" s="1"/>
  <c r="AB49" i="1" s="1"/>
  <c r="G50" i="1"/>
  <c r="U49" i="1"/>
  <c r="T49" i="1"/>
  <c r="Y49" i="1" s="1"/>
  <c r="S49" i="1"/>
  <c r="R49" i="1"/>
  <c r="Q49" i="1"/>
  <c r="M49" i="1"/>
  <c r="L49" i="1"/>
  <c r="J49" i="1"/>
  <c r="O49" i="1" s="1"/>
  <c r="X49" i="1" s="1"/>
  <c r="AB48" i="1" s="1"/>
  <c r="G49" i="1"/>
  <c r="U48" i="1"/>
  <c r="T48" i="1"/>
  <c r="S48" i="1"/>
  <c r="R48" i="1"/>
  <c r="Q48" i="1"/>
  <c r="P48" i="1"/>
  <c r="Y48" i="1" s="1"/>
  <c r="M48" i="1"/>
  <c r="L48" i="1"/>
  <c r="J48" i="1"/>
  <c r="G48" i="1"/>
  <c r="U47" i="1"/>
  <c r="T47" i="1"/>
  <c r="Y47" i="1" s="1"/>
  <c r="S47" i="1"/>
  <c r="R47" i="1"/>
  <c r="Q47" i="1"/>
  <c r="M47" i="1"/>
  <c r="L47" i="1"/>
  <c r="J47" i="1"/>
  <c r="G47" i="1"/>
  <c r="U46" i="1"/>
  <c r="T46" i="1"/>
  <c r="Y46" i="1" s="1"/>
  <c r="S46" i="1"/>
  <c r="R46" i="1"/>
  <c r="Q46" i="1"/>
  <c r="M46" i="1"/>
  <c r="L46" i="1"/>
  <c r="J46" i="1"/>
  <c r="G46" i="1"/>
  <c r="U45" i="1"/>
  <c r="T45" i="1"/>
  <c r="S45" i="1"/>
  <c r="R45" i="1"/>
  <c r="Q45" i="1"/>
  <c r="P45" i="1"/>
  <c r="Y45" i="1" s="1"/>
  <c r="M45" i="1"/>
  <c r="L45" i="1"/>
  <c r="J45" i="1"/>
  <c r="O45" i="1" s="1"/>
  <c r="X45" i="1" s="1"/>
  <c r="AB44" i="1" s="1"/>
  <c r="G45" i="1"/>
  <c r="U44" i="1"/>
  <c r="T44" i="1"/>
  <c r="S44" i="1"/>
  <c r="R44" i="1"/>
  <c r="Q44" i="1"/>
  <c r="P44" i="1"/>
  <c r="P61" i="1" s="1"/>
  <c r="M44" i="1"/>
  <c r="L44" i="1"/>
  <c r="J44" i="1"/>
  <c r="G44" i="1"/>
  <c r="U43" i="1"/>
  <c r="T43" i="1"/>
  <c r="Y43" i="1" s="1"/>
  <c r="S43" i="1"/>
  <c r="R43" i="1"/>
  <c r="Q43" i="1"/>
  <c r="L43" i="1"/>
  <c r="J43" i="1"/>
  <c r="O43" i="1" s="1"/>
  <c r="X43" i="1" s="1"/>
  <c r="AB42" i="1" s="1"/>
  <c r="G43" i="1"/>
  <c r="U42" i="1"/>
  <c r="T42" i="1"/>
  <c r="Y42" i="1" s="1"/>
  <c r="S42" i="1"/>
  <c r="R42" i="1"/>
  <c r="Q42" i="1"/>
  <c r="M42" i="1"/>
  <c r="L42" i="1"/>
  <c r="U41" i="1"/>
  <c r="T41" i="1"/>
  <c r="Y41" i="1" s="1"/>
  <c r="S41" i="1"/>
  <c r="R41" i="1"/>
  <c r="Q41" i="1"/>
  <c r="M41" i="1"/>
  <c r="L41" i="1"/>
  <c r="J41" i="1"/>
  <c r="O41" i="1" s="1"/>
  <c r="X41" i="1" s="1"/>
  <c r="AB41" i="1" s="1"/>
  <c r="G41" i="1"/>
  <c r="U40" i="1"/>
  <c r="T40" i="1"/>
  <c r="Y40" i="1" s="1"/>
  <c r="S40" i="1"/>
  <c r="R40" i="1"/>
  <c r="Q40" i="1"/>
  <c r="M40" i="1"/>
  <c r="L40" i="1"/>
  <c r="J40" i="1"/>
  <c r="O40" i="1" s="1"/>
  <c r="X40" i="1" s="1"/>
  <c r="AB40" i="1" s="1"/>
  <c r="G40" i="1"/>
  <c r="U39" i="1"/>
  <c r="T39" i="1"/>
  <c r="Y39" i="1" s="1"/>
  <c r="S39" i="1"/>
  <c r="R39" i="1"/>
  <c r="Q39" i="1"/>
  <c r="M39" i="1"/>
  <c r="L39" i="1"/>
  <c r="J39" i="1"/>
  <c r="G39" i="1"/>
  <c r="U38" i="1"/>
  <c r="T38" i="1"/>
  <c r="Y38" i="1" s="1"/>
  <c r="S38" i="1"/>
  <c r="R38" i="1"/>
  <c r="Q38" i="1"/>
  <c r="M38" i="1"/>
  <c r="L38" i="1"/>
  <c r="J38" i="1"/>
  <c r="G38" i="1"/>
  <c r="U37" i="1"/>
  <c r="T37" i="1"/>
  <c r="Y37" i="1" s="1"/>
  <c r="S37" i="1"/>
  <c r="R37" i="1"/>
  <c r="Q37" i="1"/>
  <c r="M37" i="1"/>
  <c r="L37" i="1"/>
  <c r="J37" i="1"/>
  <c r="G37" i="1"/>
  <c r="U36" i="1"/>
  <c r="T36" i="1"/>
  <c r="Y36" i="1" s="1"/>
  <c r="S36" i="1"/>
  <c r="R36" i="1"/>
  <c r="Q36" i="1"/>
  <c r="M36" i="1"/>
  <c r="L36" i="1"/>
  <c r="J36" i="1"/>
  <c r="G36" i="1"/>
  <c r="U35" i="1"/>
  <c r="T35" i="1"/>
  <c r="Y35" i="1" s="1"/>
  <c r="S35" i="1"/>
  <c r="R35" i="1"/>
  <c r="Q35" i="1"/>
  <c r="M35" i="1"/>
  <c r="L35" i="1"/>
  <c r="J35" i="1"/>
  <c r="G35" i="1"/>
  <c r="U34" i="1"/>
  <c r="T34" i="1"/>
  <c r="Y34" i="1" s="1"/>
  <c r="S34" i="1"/>
  <c r="R34" i="1"/>
  <c r="Q34" i="1"/>
  <c r="M34" i="1"/>
  <c r="L34" i="1"/>
  <c r="J34" i="1"/>
  <c r="G34" i="1"/>
  <c r="U33" i="1"/>
  <c r="T33" i="1"/>
  <c r="Y33" i="1" s="1"/>
  <c r="S33" i="1"/>
  <c r="R33" i="1"/>
  <c r="Q33" i="1"/>
  <c r="M33" i="1"/>
  <c r="L33" i="1"/>
  <c r="J33" i="1"/>
  <c r="G33" i="1"/>
  <c r="U32" i="1"/>
  <c r="T32" i="1"/>
  <c r="Y32" i="1" s="1"/>
  <c r="S32" i="1"/>
  <c r="R32" i="1"/>
  <c r="Q32" i="1"/>
  <c r="M32" i="1"/>
  <c r="L32" i="1"/>
  <c r="J32" i="1"/>
  <c r="G32" i="1"/>
  <c r="U31" i="1"/>
  <c r="T31" i="1"/>
  <c r="Y31" i="1" s="1"/>
  <c r="S31" i="1"/>
  <c r="R31" i="1"/>
  <c r="Q31" i="1"/>
  <c r="M31" i="1"/>
  <c r="L31" i="1"/>
  <c r="J31" i="1"/>
  <c r="G31" i="1"/>
  <c r="U30" i="1"/>
  <c r="T30" i="1"/>
  <c r="Y30" i="1" s="1"/>
  <c r="S30" i="1"/>
  <c r="R30" i="1"/>
  <c r="Q30" i="1"/>
  <c r="M30" i="1"/>
  <c r="L30" i="1"/>
  <c r="J30" i="1"/>
  <c r="G30" i="1"/>
  <c r="U29" i="1"/>
  <c r="T29" i="1"/>
  <c r="Y29" i="1" s="1"/>
  <c r="S29" i="1"/>
  <c r="R29" i="1"/>
  <c r="Q29" i="1"/>
  <c r="M29" i="1"/>
  <c r="L29" i="1"/>
  <c r="J29" i="1"/>
  <c r="G29" i="1"/>
  <c r="U28" i="1"/>
  <c r="T28" i="1"/>
  <c r="Y28" i="1" s="1"/>
  <c r="S28" i="1"/>
  <c r="R28" i="1"/>
  <c r="Q28" i="1"/>
  <c r="M28" i="1"/>
  <c r="L28" i="1"/>
  <c r="J28" i="1"/>
  <c r="G28" i="1"/>
  <c r="U27" i="1"/>
  <c r="T27" i="1"/>
  <c r="Y27" i="1" s="1"/>
  <c r="S27" i="1"/>
  <c r="R27" i="1"/>
  <c r="Q27" i="1"/>
  <c r="M27" i="1"/>
  <c r="L27" i="1"/>
  <c r="J27" i="1"/>
  <c r="O27" i="1" s="1"/>
  <c r="X27" i="1" s="1"/>
  <c r="AB27" i="1" s="1"/>
  <c r="G27" i="1"/>
  <c r="U26" i="1"/>
  <c r="T26" i="1"/>
  <c r="Y26" i="1" s="1"/>
  <c r="S26" i="1"/>
  <c r="R26" i="1"/>
  <c r="Q26" i="1"/>
  <c r="M26" i="1"/>
  <c r="L26" i="1"/>
  <c r="J26" i="1"/>
  <c r="O26" i="1" s="1"/>
  <c r="X26" i="1" s="1"/>
  <c r="AB26" i="1" s="1"/>
  <c r="G26" i="1"/>
  <c r="U25" i="1"/>
  <c r="T25" i="1"/>
  <c r="Y25" i="1" s="1"/>
  <c r="S25" i="1"/>
  <c r="R25" i="1"/>
  <c r="Q25" i="1"/>
  <c r="M25" i="1"/>
  <c r="L25" i="1"/>
  <c r="J25" i="1"/>
  <c r="O25" i="1" s="1"/>
  <c r="X25" i="1" s="1"/>
  <c r="AB25" i="1" s="1"/>
  <c r="G25" i="1"/>
  <c r="U24" i="1"/>
  <c r="T24" i="1"/>
  <c r="Y24" i="1" s="1"/>
  <c r="S24" i="1"/>
  <c r="R24" i="1"/>
  <c r="Q24" i="1"/>
  <c r="M24" i="1"/>
  <c r="L24" i="1"/>
  <c r="J24" i="1"/>
  <c r="O24" i="1" s="1"/>
  <c r="X24" i="1" s="1"/>
  <c r="AB24" i="1" s="1"/>
  <c r="G24" i="1"/>
  <c r="U23" i="1"/>
  <c r="T23" i="1"/>
  <c r="Y23" i="1" s="1"/>
  <c r="S23" i="1"/>
  <c r="R23" i="1"/>
  <c r="Q23" i="1"/>
  <c r="M23" i="1"/>
  <c r="L23" i="1"/>
  <c r="J23" i="1"/>
  <c r="O23" i="1" s="1"/>
  <c r="X23" i="1" s="1"/>
  <c r="AB23" i="1" s="1"/>
  <c r="G23" i="1"/>
  <c r="U22" i="1"/>
  <c r="T22" i="1"/>
  <c r="Y22" i="1" s="1"/>
  <c r="S22" i="1"/>
  <c r="R22" i="1"/>
  <c r="Q22" i="1"/>
  <c r="M22" i="1"/>
  <c r="L22" i="1"/>
  <c r="J22" i="1"/>
  <c r="O22" i="1" s="1"/>
  <c r="X22" i="1" s="1"/>
  <c r="AB22" i="1" s="1"/>
  <c r="G22" i="1"/>
  <c r="U21" i="1"/>
  <c r="T21" i="1"/>
  <c r="Y21" i="1" s="1"/>
  <c r="S21" i="1"/>
  <c r="R21" i="1"/>
  <c r="Q21" i="1"/>
  <c r="M21" i="1"/>
  <c r="L21" i="1"/>
  <c r="J21" i="1"/>
  <c r="O21" i="1" s="1"/>
  <c r="X21" i="1" s="1"/>
  <c r="AB21" i="1" s="1"/>
  <c r="G21" i="1"/>
  <c r="U20" i="1"/>
  <c r="T20" i="1"/>
  <c r="Y20" i="1" s="1"/>
  <c r="S20" i="1"/>
  <c r="R20" i="1"/>
  <c r="Q20" i="1"/>
  <c r="M20" i="1"/>
  <c r="L20" i="1"/>
  <c r="J20" i="1"/>
  <c r="O20" i="1" s="1"/>
  <c r="X20" i="1" s="1"/>
  <c r="AB20" i="1" s="1"/>
  <c r="G20" i="1"/>
  <c r="U19" i="1"/>
  <c r="T19" i="1"/>
  <c r="Y19" i="1" s="1"/>
  <c r="S19" i="1"/>
  <c r="R19" i="1"/>
  <c r="Q19" i="1"/>
  <c r="M19" i="1"/>
  <c r="L19" i="1"/>
  <c r="J19" i="1"/>
  <c r="O19" i="1" s="1"/>
  <c r="X19" i="1" s="1"/>
  <c r="AB19" i="1" s="1"/>
  <c r="G19" i="1"/>
  <c r="U18" i="1"/>
  <c r="T18" i="1"/>
  <c r="Y18" i="1" s="1"/>
  <c r="S18" i="1"/>
  <c r="R18" i="1"/>
  <c r="Q18" i="1"/>
  <c r="M18" i="1"/>
  <c r="L18" i="1"/>
  <c r="J18" i="1"/>
  <c r="O18" i="1" s="1"/>
  <c r="X18" i="1" s="1"/>
  <c r="AB18" i="1" s="1"/>
  <c r="G18" i="1"/>
  <c r="U17" i="1"/>
  <c r="T17" i="1"/>
  <c r="Y17" i="1" s="1"/>
  <c r="S17" i="1"/>
  <c r="R17" i="1"/>
  <c r="Q17" i="1"/>
  <c r="M17" i="1"/>
  <c r="L17" i="1"/>
  <c r="J17" i="1"/>
  <c r="O17" i="1" s="1"/>
  <c r="X17" i="1" s="1"/>
  <c r="AB17" i="1" s="1"/>
  <c r="G17" i="1"/>
  <c r="U16" i="1"/>
  <c r="T16" i="1"/>
  <c r="Y16" i="1" s="1"/>
  <c r="S16" i="1"/>
  <c r="R16" i="1"/>
  <c r="Q16" i="1"/>
  <c r="M16" i="1"/>
  <c r="L16" i="1"/>
  <c r="J16" i="1"/>
  <c r="O16" i="1" s="1"/>
  <c r="X16" i="1" s="1"/>
  <c r="AB16" i="1" s="1"/>
  <c r="G16" i="1"/>
  <c r="U15" i="1"/>
  <c r="T15" i="1"/>
  <c r="Y15" i="1" s="1"/>
  <c r="S15" i="1"/>
  <c r="R15" i="1"/>
  <c r="Q15" i="1"/>
  <c r="M15" i="1"/>
  <c r="L15" i="1"/>
  <c r="J15" i="1"/>
  <c r="O15" i="1" s="1"/>
  <c r="X15" i="1" s="1"/>
  <c r="AB15" i="1" s="1"/>
  <c r="G15" i="1"/>
  <c r="U14" i="1"/>
  <c r="T14" i="1"/>
  <c r="Y14" i="1" s="1"/>
  <c r="S14" i="1"/>
  <c r="R14" i="1"/>
  <c r="Q14" i="1"/>
  <c r="M14" i="1"/>
  <c r="L14" i="1"/>
  <c r="J14" i="1"/>
  <c r="O14" i="1" s="1"/>
  <c r="X14" i="1" s="1"/>
  <c r="AB14" i="1" s="1"/>
  <c r="G14" i="1"/>
  <c r="U13" i="1"/>
  <c r="T13" i="1"/>
  <c r="Y13" i="1" s="1"/>
  <c r="S13" i="1"/>
  <c r="R13" i="1"/>
  <c r="Q13" i="1"/>
  <c r="M13" i="1"/>
  <c r="L13" i="1"/>
  <c r="J13" i="1"/>
  <c r="O13" i="1" s="1"/>
  <c r="X13" i="1" s="1"/>
  <c r="AB13" i="1" s="1"/>
  <c r="G13" i="1"/>
  <c r="U12" i="1"/>
  <c r="T12" i="1"/>
  <c r="Y12" i="1" s="1"/>
  <c r="S12" i="1"/>
  <c r="R12" i="1"/>
  <c r="Q12" i="1"/>
  <c r="M12" i="1"/>
  <c r="L12" i="1"/>
  <c r="J12" i="1"/>
  <c r="O12" i="1" s="1"/>
  <c r="X12" i="1" s="1"/>
  <c r="AB12" i="1" s="1"/>
  <c r="G12" i="1"/>
  <c r="U11" i="1"/>
  <c r="T11" i="1"/>
  <c r="Y11" i="1" s="1"/>
  <c r="S11" i="1"/>
  <c r="R11" i="1"/>
  <c r="Q11" i="1"/>
  <c r="M11" i="1"/>
  <c r="L11" i="1"/>
  <c r="J11" i="1"/>
  <c r="O11" i="1" s="1"/>
  <c r="X11" i="1" s="1"/>
  <c r="AB11" i="1" s="1"/>
  <c r="G11" i="1"/>
  <c r="U10" i="1"/>
  <c r="T10" i="1"/>
  <c r="Y10" i="1" s="1"/>
  <c r="S10" i="1"/>
  <c r="R10" i="1"/>
  <c r="Q10" i="1"/>
  <c r="M10" i="1"/>
  <c r="L10" i="1"/>
  <c r="J10" i="1"/>
  <c r="O10" i="1" s="1"/>
  <c r="X10" i="1" s="1"/>
  <c r="AB10" i="1" s="1"/>
  <c r="G10" i="1"/>
  <c r="V61" i="1"/>
  <c r="U9" i="1"/>
  <c r="T9" i="1"/>
  <c r="Y9" i="1" s="1"/>
  <c r="S9" i="1"/>
  <c r="R9" i="1"/>
  <c r="Q9" i="1"/>
  <c r="M9" i="1"/>
  <c r="L9" i="1"/>
  <c r="J9" i="1"/>
  <c r="H9" i="1"/>
  <c r="H61" i="1" s="1"/>
  <c r="U8" i="1"/>
  <c r="U61" i="1" s="1"/>
  <c r="T8" i="1"/>
  <c r="T61" i="1" s="1"/>
  <c r="S8" i="1"/>
  <c r="S61" i="1" s="1"/>
  <c r="R8" i="1"/>
  <c r="R61" i="1" s="1"/>
  <c r="Q8" i="1"/>
  <c r="Q61" i="1" s="1"/>
  <c r="M8" i="1"/>
  <c r="M61" i="1" s="1"/>
  <c r="L8" i="1"/>
  <c r="L61" i="1" s="1"/>
  <c r="J8" i="1"/>
  <c r="J61" i="1" s="1"/>
  <c r="G8" i="1"/>
  <c r="O9" i="1" l="1"/>
  <c r="X9" i="1" s="1"/>
  <c r="AB9" i="1" s="1"/>
  <c r="O28" i="1"/>
  <c r="X28" i="1" s="1"/>
  <c r="AB28" i="1" s="1"/>
  <c r="O30" i="1"/>
  <c r="X30" i="1" s="1"/>
  <c r="AB30" i="1" s="1"/>
  <c r="O32" i="1"/>
  <c r="X32" i="1" s="1"/>
  <c r="AB32" i="1" s="1"/>
  <c r="O34" i="1"/>
  <c r="X34" i="1" s="1"/>
  <c r="AB34" i="1" s="1"/>
  <c r="O36" i="1"/>
  <c r="X36" i="1" s="1"/>
  <c r="AB36" i="1" s="1"/>
  <c r="O38" i="1"/>
  <c r="X38" i="1" s="1"/>
  <c r="AB38" i="1" s="1"/>
  <c r="O47" i="1"/>
  <c r="X47" i="1" s="1"/>
  <c r="AB46" i="1" s="1"/>
  <c r="X59" i="1"/>
  <c r="AB58" i="1" s="1"/>
  <c r="O29" i="1"/>
  <c r="X29" i="1" s="1"/>
  <c r="AB29" i="1" s="1"/>
  <c r="O31" i="1"/>
  <c r="X31" i="1" s="1"/>
  <c r="AB31" i="1" s="1"/>
  <c r="O33" i="1"/>
  <c r="X33" i="1" s="1"/>
  <c r="AB33" i="1" s="1"/>
  <c r="O35" i="1"/>
  <c r="X35" i="1" s="1"/>
  <c r="AB35" i="1" s="1"/>
  <c r="O37" i="1"/>
  <c r="X37" i="1" s="1"/>
  <c r="AB37" i="1" s="1"/>
  <c r="O39" i="1"/>
  <c r="X39" i="1" s="1"/>
  <c r="AB39" i="1" s="1"/>
  <c r="O44" i="1"/>
  <c r="X44" i="1" s="1"/>
  <c r="AB43" i="1" s="1"/>
  <c r="O46" i="1"/>
  <c r="X46" i="1" s="1"/>
  <c r="AB45" i="1" s="1"/>
  <c r="O48" i="1"/>
  <c r="X48" i="1" s="1"/>
  <c r="AB47" i="1" s="1"/>
  <c r="O54" i="1"/>
  <c r="X54" i="1" s="1"/>
  <c r="AB53" i="1" s="1"/>
  <c r="O8" i="1"/>
  <c r="Y8" i="1"/>
  <c r="G9" i="1"/>
  <c r="E15" i="1"/>
  <c r="E23" i="1"/>
  <c r="E27" i="1"/>
  <c r="E29" i="1"/>
  <c r="E31" i="1"/>
  <c r="E33" i="1"/>
  <c r="E35" i="1"/>
  <c r="E37" i="1"/>
  <c r="E39" i="1"/>
  <c r="E47" i="1"/>
  <c r="E57" i="1"/>
  <c r="O42" i="1"/>
  <c r="X42" i="1" s="1"/>
  <c r="E44" i="1"/>
  <c r="E46" i="1"/>
  <c r="E48" i="1"/>
  <c r="E54" i="1"/>
  <c r="Y44" i="1"/>
  <c r="Z48" i="1" l="1"/>
  <c r="W48" i="1"/>
  <c r="Z54" i="1"/>
  <c r="W54" i="1"/>
  <c r="W46" i="1"/>
  <c r="Z46" i="1"/>
  <c r="W47" i="1"/>
  <c r="Z47" i="1"/>
  <c r="Z37" i="1"/>
  <c r="W37" i="1"/>
  <c r="Z33" i="1"/>
  <c r="W33" i="1"/>
  <c r="Z29" i="1"/>
  <c r="W29" i="1"/>
  <c r="Z23" i="1"/>
  <c r="W23" i="1"/>
  <c r="E8" i="1"/>
  <c r="E9" i="1"/>
  <c r="O61" i="1"/>
  <c r="X8" i="1"/>
  <c r="E41" i="1"/>
  <c r="E43" i="1"/>
  <c r="E17" i="1"/>
  <c r="E19" i="1"/>
  <c r="E21" i="1"/>
  <c r="E25" i="1"/>
  <c r="E51" i="1"/>
  <c r="Z51" i="1" s="1"/>
  <c r="E53" i="1"/>
  <c r="Z53" i="1" s="1"/>
  <c r="E49" i="1"/>
  <c r="E55" i="1"/>
  <c r="E58" i="1"/>
  <c r="E60" i="1"/>
  <c r="E38" i="1"/>
  <c r="E34" i="1"/>
  <c r="E30" i="1"/>
  <c r="E24" i="1"/>
  <c r="E11" i="1"/>
  <c r="E13" i="1"/>
  <c r="Z44" i="1"/>
  <c r="W44" i="1"/>
  <c r="Z57" i="1"/>
  <c r="W57" i="1"/>
  <c r="W39" i="1"/>
  <c r="Z39" i="1"/>
  <c r="Z35" i="1"/>
  <c r="W35" i="1"/>
  <c r="Z31" i="1"/>
  <c r="W31" i="1"/>
  <c r="Z27" i="1"/>
  <c r="W27" i="1"/>
  <c r="Z15" i="1"/>
  <c r="W15" i="1"/>
  <c r="Y61" i="1"/>
  <c r="E40" i="1"/>
  <c r="E42" i="1"/>
  <c r="E16" i="1"/>
  <c r="E18" i="1"/>
  <c r="E20" i="1"/>
  <c r="E22" i="1"/>
  <c r="E26" i="1"/>
  <c r="E52" i="1"/>
  <c r="Z52" i="1" s="1"/>
  <c r="E45" i="1"/>
  <c r="E50" i="1"/>
  <c r="E56" i="1"/>
  <c r="E59" i="1"/>
  <c r="G61" i="1"/>
  <c r="E36" i="1"/>
  <c r="E32" i="1"/>
  <c r="E28" i="1"/>
  <c r="E14" i="1"/>
  <c r="E10" i="1"/>
  <c r="E12" i="1"/>
  <c r="W12" i="1" l="1"/>
  <c r="Z12" i="1"/>
  <c r="Z14" i="1"/>
  <c r="W14" i="1"/>
  <c r="Z32" i="1"/>
  <c r="W32" i="1"/>
  <c r="W56" i="1"/>
  <c r="Z56" i="1"/>
  <c r="W45" i="1"/>
  <c r="Z45" i="1"/>
  <c r="Z26" i="1"/>
  <c r="W26" i="1"/>
  <c r="Z20" i="1"/>
  <c r="W20" i="1"/>
  <c r="Z16" i="1"/>
  <c r="W16" i="1"/>
  <c r="W40" i="1"/>
  <c r="Z40" i="1"/>
  <c r="W13" i="1"/>
  <c r="Z13" i="1"/>
  <c r="Z24" i="1"/>
  <c r="W24" i="1"/>
  <c r="Z34" i="1"/>
  <c r="W34" i="1"/>
  <c r="W60" i="1"/>
  <c r="Z60" i="1"/>
  <c r="Z55" i="1"/>
  <c r="W55" i="1"/>
  <c r="Z25" i="1"/>
  <c r="W25" i="1"/>
  <c r="Z19" i="1"/>
  <c r="W19" i="1"/>
  <c r="E64" i="1"/>
  <c r="W43" i="1"/>
  <c r="Z43" i="1"/>
  <c r="X61" i="1"/>
  <c r="AB8" i="1"/>
  <c r="AB60" i="1" s="1"/>
  <c r="W9" i="1"/>
  <c r="Z9" i="1"/>
  <c r="W10" i="1"/>
  <c r="Z10" i="1"/>
  <c r="Z28" i="1"/>
  <c r="W28" i="1"/>
  <c r="Z36" i="1"/>
  <c r="W36" i="1"/>
  <c r="Z59" i="1"/>
  <c r="W59" i="1"/>
  <c r="W50" i="1"/>
  <c r="Z50" i="1"/>
  <c r="Z22" i="1"/>
  <c r="W22" i="1"/>
  <c r="Z18" i="1"/>
  <c r="W18" i="1"/>
  <c r="W42" i="1"/>
  <c r="Z42" i="1"/>
  <c r="W11" i="1"/>
  <c r="Z11" i="1"/>
  <c r="Z30" i="1"/>
  <c r="W30" i="1"/>
  <c r="Z38" i="1"/>
  <c r="W38" i="1"/>
  <c r="Z58" i="1"/>
  <c r="W58" i="1"/>
  <c r="Z49" i="1"/>
  <c r="W49" i="1"/>
  <c r="Z21" i="1"/>
  <c r="W21" i="1"/>
  <c r="Z17" i="1"/>
  <c r="W17" i="1"/>
  <c r="W41" i="1"/>
  <c r="Z41" i="1"/>
  <c r="E61" i="1"/>
  <c r="W8" i="1"/>
  <c r="Z8" i="1"/>
  <c r="Z61" i="1" l="1"/>
  <c r="W61" i="1"/>
</calcChain>
</file>

<file path=xl/comments1.xml><?xml version="1.0" encoding="utf-8"?>
<comments xmlns="http://schemas.openxmlformats.org/spreadsheetml/2006/main">
  <authors>
    <author>Mgr. Lenka Copková</author>
  </authors>
  <commentList>
    <comment ref="L9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27.10. poníženo o 644 130,- Kč převodem na stř. 3727 s výměnou v provozu ve zdroji 30.</t>
        </r>
      </text>
    </comment>
    <comment ref="V9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Čerp.uk.F (10 195,73)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12.7.2017 poníženo o částku 50 000,- Kč převodem na katedru 3123, s výměnou v provozu ve zdroji 30.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24.10. poníženo o 300 000,- Kč převodem na stř. 3721 s výměnou v provozu ve zdroji 30.
31.1.2018 (do r. 2017) poníženo o 40 000 Kč převodem na 3900_2 s výměnou v provozu ve zdroji 11.</t>
        </r>
      </text>
    </comment>
    <comment ref="L14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12.7.2017 navýšeno o částku 50 000,- Kč převodem z katedry 3113, s výměnou v provozu ve zdroji 30.
31.10. poníženo o částku 938 959,79 Kč převodem na stř. 3900_2 s výměnou v provozu ve zdroji 30.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27.10. navýšeno o 1 000 000,- Kč převodem z 3153 s výměnou v provozu ve zdroji 11.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Poníženo o částku 21 265,05 Kč převodem na 3900_2 jako vyrovnání záporného výsledku z HV.</t>
        </r>
      </text>
    </comment>
    <comment ref="L25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9.10.navýšeno o 240 tis.Kč převodem ze stř.3703, s výměnou v provozu ve zdroji 30. 
15.11. poníženo o 300 tis. Kč převodem na 3900_2 s výměnou v provozu ve zdroji 30.</t>
        </r>
      </text>
    </comment>
    <comment ref="L28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13.7. poníženo o částku 1 300 000,- Kč převodem na stř. 3900_2 s výměnou v provozu ve zdroji 30 (na základě ústní dohody JZ s prof.Dvořákem převedena částka 1 170 000,- Kč).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24.10. Poníženo o 383 429,47 Kč převodem na 3721 s výměnou v provozu ve zdroji 30.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27.10. poníženo o 1 500 000,- Kč převodem na stř. 3727 s výměnou v provozu ve zdroji 30.
27.10. poníženo o 1 000 000,- Kč převodem na 3133 s výměnou v provozu ve zdroji 11.
20.12. poníženo o 376 200 Kč převodem na 3720 s výměnou téže částky ve FPP HV.
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Poníženo o částku 46 042,13 Kč převodem na 3900_2 jako vyrovnání záporného výsledku z HV.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17.7.2017 poníženo o částku 992 962,03 Kč převodem na středisko 3705, s výměnou v provozu ve zdroji 11.</t>
        </r>
      </text>
    </comment>
    <comment ref="L37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Poníženo o částku 313 803,52 Kč převodem na 3900_2 jako vyrovnání záporného výsledku z HV.9.10.ponžšeno o 240 tis.Kč převodem na stř. 3142, s výměnou v provozu ve zdroji 30.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17.7.2017 navýšeno o částku 992 962,03 Kč převodem ze střediska 3702, s výměnou v provozu ve zdroji 11.
17.10. poníženo o 1 859 892,82 Kč převodem do FRIM 3900_2, s výměnou v kap. zdroji 30.</t>
        </r>
      </text>
    </comment>
    <comment ref="P39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17.10. navýšeno o 4 859 892,82 Kč převodem z 3900_1, s výměnou za provozní prostředky ve zdroji 30 (3 mil.Kč) a FRIM 3900_2 (1 859 892,92 Kč).</t>
        </r>
      </text>
    </comment>
    <comment ref="E43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Navýšeno o částku 213 60 Kč převodem z 3725 jako vyrovnání části záporného výsledku z HV.
20.12. navýšeno o 376 200,- převodem z 3153 s výměnou téže částky ve FPP HV.</t>
        </r>
      </text>
    </comment>
    <comment ref="I43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26.10.Převedeno z FPP HV 3720 k pokrytí záporného stavu FRIM.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24.10. navýšeno o 300 000,- Kč převodem ze stř. 3122 s výměnou v provozu ve zdroji 30.</t>
        </r>
      </text>
    </comment>
    <comment ref="L44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24.10.Navýšeno o 383 429,47 Kč převodem z 3152 s výměnou v provozu ve zdroji 30.</t>
        </r>
      </text>
    </comment>
    <comment ref="P44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16.10. navýšeno o 62 968,28 Kč převodem z 3900_1 s výměnou v provozu ve zdroji 30.</t>
        </r>
      </text>
    </comment>
    <comment ref="P45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27.9.2017 navýšeno o 699 636,48 ze stř. 3900_2 s výměnou v provozu ve zdroji 30.
16.10. navýšeno o 64 000 Kč převodem z 3900_1 s výměnou v provozu ve zdroji 30.</t>
        </r>
      </text>
    </comment>
    <comment ref="L46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26.4. poníženo o částku 769 574,40 Kč převodem na stř. 3900_2  s výměnou v provozu ve zdroji 30 (žádost prof. Trávníčka).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Poníženo o částku 213 60 Kč převodem na 3720 jako vyrovnání části záporného výsledku z HV.</t>
        </r>
      </text>
    </comment>
    <comment ref="P48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16.10. navýšeno o 64 000 Kč převodem z 3900_1 s výměnou v provozu ve zdroji 30.</t>
        </r>
      </text>
    </comment>
    <comment ref="E50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27.10. navýšeno o 1 500 000,- Kč převodem ze stř. 3111 s výměnou v provozu ve zdroji 30.</t>
        </r>
      </text>
    </comment>
    <comment ref="L50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27.10. navýšeno o 644 130,- Kč převodem ze stř. 3111 s výměnou v provozu ve zdroji 30.</t>
        </r>
      </text>
    </comment>
    <comment ref="P50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16.10. navýšeno o 64 000 Kč převodem z 3900_1 s výměnou v provozu ve zdroji 30.</t>
        </r>
      </text>
    </comment>
    <comment ref="P51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17.10. navýšeno o 185 502,42 Kč převodem z 3900_1 s výměnou v provozu ve zdroji 30. Částka dohodnutá JZ a dr. Jančíkem na dofin. Přístrojů z OP VVV.</t>
        </r>
      </text>
    </comment>
    <comment ref="H54" authorId="0">
      <text>
        <r>
          <rPr>
            <b/>
            <sz val="9"/>
            <color indexed="81"/>
            <rFont val="Tahoma"/>
            <charset val="1"/>
          </rPr>
          <t>Mgr. Lenka Copková:</t>
        </r>
        <r>
          <rPr>
            <sz val="9"/>
            <color indexed="81"/>
            <rFont val="Tahoma"/>
            <charset val="1"/>
          </rPr>
          <t xml:space="preserve">
navýšeno o mimořádný příspěvrk od MŠMT ve výši 2 885 000</t>
        </r>
      </text>
    </comment>
    <comment ref="P56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Kapitalizováno z provozních prostředků děkanátu, 27.9.2017 poníženo o 699 636,48 převodem  na stř. 3722 s výměnou v provozu ve zdroji 30. 
16.10.poníženo o 62 968,28 (na 3721), o 64 000,- (na 3722), o 64 000,- (na 3725), o 64 000 (na 3727) s výměnou v provozu ve zdroji 30.
17.10. poníženo o 4 859 892,82 Kč převodem na 3705, s výměnou za provozní prostředky ve zdroji 30 (3 mil.Kč) a FRIM 3900_2 (1 859 892,82 Kč).
17.10. poníženo o 185 502,42 Kč převodem na 3728 s výměnou v provozu ve zdroji 30. Částka dohodnutá JZ a dr. Jančíkem na dofin. Přístrojů z OP VVV.
</t>
        </r>
      </text>
    </comment>
    <comment ref="E57" authorId="0">
      <text>
        <r>
          <rPr>
            <b/>
            <sz val="9"/>
            <color indexed="81"/>
            <rFont val="Tahoma"/>
            <family val="2"/>
            <charset val="238"/>
          </rPr>
          <t>Mgr. Lenka Copková:</t>
        </r>
        <r>
          <rPr>
            <sz val="9"/>
            <color indexed="81"/>
            <rFont val="Tahoma"/>
            <family val="2"/>
            <charset val="238"/>
          </rPr>
          <t xml:space="preserve">
Navýšeno o částku 21 265,05 Kč převodem z 3134 a o částku 46 042,13 Kč převodem z 3154 jako vyrovnání záporných výsledků z HV.
31.1.2018 (do r. 2017) navýšeno o 40 000,- Kč převodem ze střediska 3122 s výměnou v provozu ve zdroji 11.</t>
        </r>
      </text>
    </comment>
    <comment ref="L5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Mgr. Lenka Copková </t>
        </r>
        <r>
          <rPr>
            <sz val="9"/>
            <color indexed="81"/>
            <rFont val="Tahoma"/>
            <family val="2"/>
            <charset val="238"/>
          </rPr>
          <t>Navý</t>
        </r>
        <r>
          <rPr>
            <b/>
            <sz val="9"/>
            <color indexed="81"/>
            <rFont val="Tahoma"/>
            <family val="2"/>
            <charset val="238"/>
          </rPr>
          <t>š</t>
        </r>
        <r>
          <rPr>
            <sz val="9"/>
            <color indexed="81"/>
            <rFont val="Tahoma"/>
            <family val="2"/>
            <charset val="238"/>
          </rPr>
          <t>eno o částku 313 803,52 Kč převodem z 3703 jako vyrovnání záporného výsledku z HV.
26.4.navýšeno o částku 769 574,40 Kč převodem ze stř. 3723 s výměnou v provozu ve zdroji 30 (žádost prof. Trávníčka).
13.7. navýšeno o částku 1 300 000,- Kč převodem ze stř. 3145 s výměnou v provozu ve zdroji 30 (na základě ústní dohody JZ s prof.Dvořákem převedena částka 1 170 000,- Kč).
17.10. navýšeno o 1 859 892,82 Kč převodem z FRIM 3705, s výměnou v kap. zdroji 30.
31.10. navýšeno o částku 938 959,79 Kč převodem ze stř. 3123 s výměnou v provozu ve zdroji 30.
15.11. navýšeno o 300 tis. Kč převodem z 3143 s výměnou v provozu ve zdroji 30.</t>
        </r>
      </text>
    </comment>
  </commentList>
</comments>
</file>

<file path=xl/sharedStrings.xml><?xml version="1.0" encoding="utf-8"?>
<sst xmlns="http://schemas.openxmlformats.org/spreadsheetml/2006/main" count="137" uniqueCount="132">
  <si>
    <t>80 - M/30 - N/81 - E</t>
  </si>
  <si>
    <t>Přehled čerpání FRIM a FPP za rok 2017</t>
  </si>
  <si>
    <t>kód</t>
  </si>
  <si>
    <t>katedra</t>
  </si>
  <si>
    <t>vedoucí</t>
  </si>
  <si>
    <t>Konečný FPP ze zůstatku příspěvku (po započtení vyrovnání záporných výsledků)</t>
  </si>
  <si>
    <t>vyrovnání záporných výsledků FPP (kódy dle sloupce B)</t>
  </si>
  <si>
    <t>zůstatek FPP předchozí rok + převod zůstatku z provozního rozpočtu zdroj 11</t>
  </si>
  <si>
    <t>převod zůstatku provozního rozpočtu předchozího roku (zdroj 11)</t>
  </si>
  <si>
    <t xml:space="preserve">Převod z FPP HV do FRIM (na investice)  </t>
  </si>
  <si>
    <t xml:space="preserve">Zůstatek ve FRIM (z předchozího roku po střediscích) </t>
  </si>
  <si>
    <t>Povinný FRIM plánovaný (tvořený z provozního rozpočtu povinnými odpisy majetku po střediscích)</t>
  </si>
  <si>
    <t xml:space="preserve">Vyměněný FRIM (povinný FRIM po úpravách mezi středisky) </t>
  </si>
  <si>
    <t>Dorovnání FRIM na konci roku</t>
  </si>
  <si>
    <t>Aktualizovaná výše povinného FRIMu 2017 skutečná</t>
  </si>
  <si>
    <t>Kapitalizovaný zdroj 30 nebo 11</t>
  </si>
  <si>
    <t>ČERPÁNÍ INVESTIC</t>
  </si>
  <si>
    <t>PROVOZ</t>
  </si>
  <si>
    <t>FPP mínus provoz</t>
  </si>
  <si>
    <t>Zůstatek ve FRIM pro příští rok (v případě půjček)</t>
  </si>
  <si>
    <t>Celkový FRIM (převod z HV + zůstatek z předchozího roku + vyměněný FRIM)</t>
  </si>
  <si>
    <t>Schválený plán</t>
  </si>
  <si>
    <r>
      <t>Objednáno</t>
    </r>
    <r>
      <rPr>
        <b/>
        <sz val="13"/>
        <rFont val="Calibri"/>
        <family val="2"/>
        <charset val="238"/>
        <scheme val="minor"/>
      </rPr>
      <t xml:space="preserve"> zatím nefakturováno včetně DPH</t>
    </r>
    <r>
      <rPr>
        <b/>
        <sz val="13"/>
        <color rgb="FFFF0000"/>
        <rFont val="Calibri"/>
        <family val="2"/>
        <charset val="238"/>
        <scheme val="minor"/>
      </rPr>
      <t xml:space="preserve"> </t>
    </r>
  </si>
  <si>
    <r>
      <rPr>
        <b/>
        <sz val="13"/>
        <rFont val="Calibri"/>
        <family val="2"/>
        <charset val="238"/>
        <scheme val="minor"/>
      </rPr>
      <t xml:space="preserve">Čerpání investice - FRIM zdroj 80/ Fakturovaná cena </t>
    </r>
    <r>
      <rPr>
        <b/>
        <sz val="13"/>
        <color rgb="FFFF0000"/>
        <rFont val="Calibri"/>
        <family val="2"/>
        <charset val="238"/>
        <scheme val="minor"/>
      </rPr>
      <t xml:space="preserve">včetně DPH </t>
    </r>
  </si>
  <si>
    <r>
      <rPr>
        <b/>
        <sz val="13"/>
        <rFont val="Calibri"/>
        <family val="2"/>
        <charset val="238"/>
        <scheme val="minor"/>
      </rPr>
      <t xml:space="preserve">Čerpání investice - kapitalizovaný zdroj 30 / Fakturovaná cena </t>
    </r>
    <r>
      <rPr>
        <b/>
        <sz val="13"/>
        <color rgb="FFFF0000"/>
        <rFont val="Calibri"/>
        <family val="2"/>
        <charset val="238"/>
        <scheme val="minor"/>
      </rPr>
      <t xml:space="preserve">včetně DPH </t>
    </r>
  </si>
  <si>
    <r>
      <rPr>
        <b/>
        <sz val="13"/>
        <rFont val="Calibri"/>
        <family val="2"/>
        <charset val="238"/>
        <scheme val="minor"/>
      </rPr>
      <t xml:space="preserve">Čerpání investice - FRIM z FPP zdroj 81/ Fakturovaná cena </t>
    </r>
    <r>
      <rPr>
        <b/>
        <sz val="13"/>
        <color rgb="FFFF0000"/>
        <rFont val="Calibri"/>
        <family val="2"/>
        <charset val="238"/>
        <scheme val="minor"/>
      </rPr>
      <t xml:space="preserve">včetně DPH </t>
    </r>
  </si>
  <si>
    <t>Čerpání nein / čerpání FPP zůstatek příspěvku v SPP</t>
  </si>
  <si>
    <t>FPP zůstatek příspěvku - provoz</t>
  </si>
  <si>
    <t>Zůstatek ve FRIM (celkový FRIM - čerpání zdroj 80)</t>
  </si>
  <si>
    <t>Zůstatek kapitalizovaného zdroje 30</t>
  </si>
  <si>
    <t>Zůstatek FPP (alokace v FPP zůstatek příspěvku ponížená o čerpání v provozu a čerpání na investice zdroj 81)</t>
  </si>
  <si>
    <t>zůstatek ve FRIM pro příští rok</t>
  </si>
  <si>
    <t>VPRO matematika a informatika</t>
  </si>
  <si>
    <t xml:space="preserve"> doc. RNDr. Karel Hron, Ph.D. </t>
  </si>
  <si>
    <t>Mat. analýza a apl. mat.</t>
  </si>
  <si>
    <t xml:space="preserve"> prof. RNDr. dr hab Jan Andres, DrSc.</t>
  </si>
  <si>
    <t>Algebra a geometrie</t>
  </si>
  <si>
    <t xml:space="preserve"> prof. Mgr. Radomír Halaš, Dr.</t>
  </si>
  <si>
    <t>Informatika</t>
  </si>
  <si>
    <t xml:space="preserve"> prof. RNDr. Radim Bělohlávek, Ph.D., DSc.</t>
  </si>
  <si>
    <t>VPRO fyzika</t>
  </si>
  <si>
    <t xml:space="preserve"> prof. RNDr. Miroslav Mašláň, CSc. </t>
  </si>
  <si>
    <t>Experimentální fyzika</t>
  </si>
  <si>
    <t xml:space="preserve"> doc. RNDr. Libor Machala, Ph.D.</t>
  </si>
  <si>
    <t>Optika</t>
  </si>
  <si>
    <t>doc. Mgr. Jaromír Fiurášek, Ph.D.</t>
  </si>
  <si>
    <t>Společná laboratoř</t>
  </si>
  <si>
    <t xml:space="preserve"> doc. RNDr. Ondřej Haderka, Ph.D.</t>
  </si>
  <si>
    <t>Biofyzika</t>
  </si>
  <si>
    <t xml:space="preserve"> prof. RNDr. Ilík Petr, Ph.D.</t>
  </si>
  <si>
    <t>VPRO chemie</t>
  </si>
  <si>
    <t xml:space="preserve"> doc. RNDr. Michal Čajan, Ph.D. </t>
  </si>
  <si>
    <t>Anorganická chemie</t>
  </si>
  <si>
    <t xml:space="preserve"> prof. RNDr. Zdeněk Trávníček, PhD.</t>
  </si>
  <si>
    <t>Fyzikální chemie</t>
  </si>
  <si>
    <t xml:space="preserve"> prof. RNDr. Michal Otyepka, Ph.D.</t>
  </si>
  <si>
    <t>Analytické chemie</t>
  </si>
  <si>
    <t xml:space="preserve"> prof. RNDr. Karel Lemr, Ph.D.</t>
  </si>
  <si>
    <t>Organická chemie</t>
  </si>
  <si>
    <t xml:space="preserve"> prof. RNDr. Jan Hlaváč, Ph.D.</t>
  </si>
  <si>
    <t>Biochemie</t>
  </si>
  <si>
    <t xml:space="preserve"> doc. RNDr. Lenka Luhová, Ph.D.</t>
  </si>
  <si>
    <t>VPRO biologie a ekologie</t>
  </si>
  <si>
    <t xml:space="preserve"> prof. Dr. Ing. Bořivoj Šarapatka, CSc. </t>
  </si>
  <si>
    <t>Botanika</t>
  </si>
  <si>
    <t xml:space="preserve"> doc. RNDr. Vladan Ondřej, Ph.D.</t>
  </si>
  <si>
    <t>Laboratoř růstových regulátorů</t>
  </si>
  <si>
    <t xml:space="preserve"> prof. Ing. Miroslav Strnad, CSc.</t>
  </si>
  <si>
    <t>Zoologie a antropologie</t>
  </si>
  <si>
    <t xml:space="preserve"> prof. Ing. Stanislav Bureš, CSc.</t>
  </si>
  <si>
    <t>Ekologie a životní prostředí</t>
  </si>
  <si>
    <t xml:space="preserve"> prof. MVDr. Emil Tkadlec, CSc.</t>
  </si>
  <si>
    <t>Buněčná biologie a genetika</t>
  </si>
  <si>
    <t xml:space="preserve"> prof. RNDr. Zdeněk Dvořák, Ph.D.</t>
  </si>
  <si>
    <t>VPRO vědy o Zemi</t>
  </si>
  <si>
    <t xml:space="preserve"> doc. RNDr. Vilém Pechanec, Ph.D.  </t>
  </si>
  <si>
    <t>Geografie</t>
  </si>
  <si>
    <t>doc. RNDr. Marián Halás, Ph. D.</t>
  </si>
  <si>
    <t>Geologie</t>
  </si>
  <si>
    <t xml:space="preserve"> prof. Mgr. Ondřej Bábek, Dr.</t>
  </si>
  <si>
    <t>Geoinformatika</t>
  </si>
  <si>
    <t xml:space="preserve"> prof.doc. RNDr. Vít Voženílek, CSc.</t>
  </si>
  <si>
    <t>Rozvojová a environmentální studia</t>
  </si>
  <si>
    <t xml:space="preserve"> doc. RNDr. Pavel Nováček, CSc.</t>
  </si>
  <si>
    <t>CRH - Řídící úsek</t>
  </si>
  <si>
    <t xml:space="preserve"> prof. RNDr. Ivo Frébort, CSc, Ph.D.</t>
  </si>
  <si>
    <t>Proteinová biochemie a proteomika</t>
  </si>
  <si>
    <t xml:space="preserve"> prof. Mgr. Marek Šebela, Dr.</t>
  </si>
  <si>
    <t>Bioenergetika rostlin</t>
  </si>
  <si>
    <t xml:space="preserve"> prof. RNDr. Petr Ilík, Ph.D.</t>
  </si>
  <si>
    <t>Chemická biologie</t>
  </si>
  <si>
    <t xml:space="preserve"> Mgr. Karel Doležal, Dr. </t>
  </si>
  <si>
    <t>Rostlinné biotechnologie</t>
  </si>
  <si>
    <t>veronique.bergougnoux-fojtik@upol.cz</t>
  </si>
  <si>
    <t>Buněčná a vývojová biologie rostlin</t>
  </si>
  <si>
    <t xml:space="preserve"> prof. RNDr. Jozef Šamaj, DrSc. </t>
  </si>
  <si>
    <t>Centrální laboratoře a podpora výzkumu</t>
  </si>
  <si>
    <t>doc. RNDr. Petr Tarkowski, Ph.D.</t>
  </si>
  <si>
    <t>rezerva</t>
  </si>
  <si>
    <t>RCPTM - Vedení</t>
  </si>
  <si>
    <t xml:space="preserve"> prof. RNDr. Radek Zbořil, Ph.D.</t>
  </si>
  <si>
    <t>RCPTM - Magnetic</t>
  </si>
  <si>
    <t xml:space="preserve"> doc. Mgr. Jiří. Tuček, Ph.D.</t>
  </si>
  <si>
    <t>RCPTM - Uhlík</t>
  </si>
  <si>
    <t>RCPTM - Komplexy</t>
  </si>
  <si>
    <t xml:space="preserve"> prof. RNDr. Zdeněk Trávníček, Ph.D.</t>
  </si>
  <si>
    <t>RCPTM - Optika</t>
  </si>
  <si>
    <t xml:space="preserve"> prof. RNDr. Miroslav Hrabovský, DrSc.</t>
  </si>
  <si>
    <t>RCPTM - Bio-Med</t>
  </si>
  <si>
    <t xml:space="preserve"> RNDr. Václav Ranc, Ph.D.</t>
  </si>
  <si>
    <t>RCPTM - Analýza</t>
  </si>
  <si>
    <t>RCPTM - Environmental</t>
  </si>
  <si>
    <t xml:space="preserve"> Mgr. Jan Filip, Ph.D.</t>
  </si>
  <si>
    <t>RCPTM - Elektrochemie</t>
  </si>
  <si>
    <t>Ing. Štěpán Kment, Ph.D.</t>
  </si>
  <si>
    <t>RCPTM - rezerva</t>
  </si>
  <si>
    <t>Centrum popularizace (dokončení projektu a první rok provozu)</t>
  </si>
  <si>
    <t xml:space="preserve"> Mgr. Matěj Dostálek</t>
  </si>
  <si>
    <t>Centrum popularizace - Provoz expozic (dokončení projektu a první rok provozu)</t>
  </si>
  <si>
    <t>3900_1</t>
  </si>
  <si>
    <t>Děkanát - vybavení</t>
  </si>
  <si>
    <t>3900_2</t>
  </si>
  <si>
    <t>Rozvoj - stavby</t>
  </si>
  <si>
    <t>3900_3</t>
  </si>
  <si>
    <t>Internacionalizace</t>
  </si>
  <si>
    <t>3900_4</t>
  </si>
  <si>
    <t>Solidární fond fa</t>
  </si>
  <si>
    <t>3900_5</t>
  </si>
  <si>
    <t>Pokuty a penále</t>
  </si>
  <si>
    <t>CELKEM</t>
  </si>
  <si>
    <t>Oprava spočívá v navýšení čerpání FPP střediska 3111 v provozu o částku 10 195,73 Kč (FPP uk. F). Nová hodnota celkové částky čerpání FPP v provozu 13 052 642,28 Kč (změna z původní částky 13 042 446,55 Kč) a nová celková hodnota zůstatku FPP je 86 307 834,88 Kč (změna z původní částky 86 318 030,61 Kč)</t>
  </si>
  <si>
    <t>Příloha 2.2 - 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</si>
</sst>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4"/>
      <color rgb="FF0070C0"/>
      <name val="Calibri"/>
      <family val="2"/>
      <charset val="238"/>
      <scheme val="minor"/>
    </font>
    <font>
      <sz val="24"/>
      <color rgb="FF00B05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0" fillId="0" borderId="0" xfId="0" applyFill="1"/>
    <xf numFmtId="0" fontId="0" fillId="2" borderId="0" xfId="0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Fill="1"/>
    <xf numFmtId="164" fontId="0" fillId="0" borderId="0" xfId="0" applyNumberFormat="1" applyFill="1"/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/>
    <xf numFmtId="0" fontId="15" fillId="4" borderId="1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15" fillId="4" borderId="6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/>
    </xf>
    <xf numFmtId="0" fontId="18" fillId="6" borderId="5" xfId="0" applyFont="1" applyFill="1" applyBorder="1"/>
    <xf numFmtId="164" fontId="0" fillId="6" borderId="5" xfId="0" applyNumberFormat="1" applyFont="1" applyFill="1" applyBorder="1"/>
    <xf numFmtId="0" fontId="0" fillId="6" borderId="5" xfId="0" applyNumberFormat="1" applyFont="1" applyFill="1" applyBorder="1"/>
    <xf numFmtId="164" fontId="0" fillId="0" borderId="0" xfId="0" applyNumberFormat="1" applyFont="1"/>
    <xf numFmtId="164" fontId="5" fillId="6" borderId="0" xfId="0" applyNumberFormat="1" applyFont="1" applyFill="1"/>
    <xf numFmtId="0" fontId="0" fillId="0" borderId="5" xfId="0" applyFont="1" applyFill="1" applyBorder="1"/>
    <xf numFmtId="164" fontId="0" fillId="0" borderId="5" xfId="0" applyNumberFormat="1" applyFont="1" applyBorder="1"/>
    <xf numFmtId="0" fontId="0" fillId="0" borderId="5" xfId="0" applyNumberFormat="1" applyFont="1" applyBorder="1"/>
    <xf numFmtId="164" fontId="5" fillId="0" borderId="0" xfId="0" applyNumberFormat="1" applyFont="1"/>
    <xf numFmtId="0" fontId="0" fillId="0" borderId="5" xfId="0" applyFont="1" applyFill="1" applyBorder="1" applyAlignment="1">
      <alignment vertical="center"/>
    </xf>
    <xf numFmtId="164" fontId="0" fillId="0" borderId="5" xfId="0" applyNumberFormat="1" applyFont="1" applyFill="1" applyBorder="1"/>
    <xf numFmtId="0" fontId="0" fillId="0" borderId="5" xfId="0" applyNumberFormat="1" applyFont="1" applyFill="1" applyBorder="1"/>
    <xf numFmtId="0" fontId="0" fillId="0" borderId="0" xfId="0" applyFont="1"/>
    <xf numFmtId="0" fontId="0" fillId="6" borderId="5" xfId="0" applyFont="1" applyFill="1" applyBorder="1"/>
    <xf numFmtId="164" fontId="18" fillId="0" borderId="5" xfId="0" applyNumberFormat="1" applyFont="1" applyFill="1" applyBorder="1"/>
    <xf numFmtId="0" fontId="18" fillId="0" borderId="5" xfId="0" applyNumberFormat="1" applyFont="1" applyFill="1" applyBorder="1"/>
    <xf numFmtId="164" fontId="19" fillId="0" borderId="0" xfId="0" applyNumberFormat="1" applyFont="1" applyFill="1"/>
    <xf numFmtId="0" fontId="3" fillId="7" borderId="5" xfId="0" applyFont="1" applyFill="1" applyBorder="1"/>
    <xf numFmtId="0" fontId="5" fillId="0" borderId="5" xfId="0" applyFont="1" applyBorder="1"/>
    <xf numFmtId="0" fontId="18" fillId="4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vertical="center" wrapText="1"/>
    </xf>
    <xf numFmtId="0" fontId="0" fillId="6" borderId="5" xfId="0" applyFont="1" applyFill="1" applyBorder="1" applyAlignment="1">
      <alignment vertical="center"/>
    </xf>
    <xf numFmtId="164" fontId="0" fillId="6" borderId="5" xfId="0" applyNumberFormat="1" applyFont="1" applyFill="1" applyBorder="1" applyAlignment="1">
      <alignment vertical="center"/>
    </xf>
    <xf numFmtId="0" fontId="0" fillId="6" borderId="5" xfId="0" applyNumberFormat="1" applyFont="1" applyFill="1" applyBorder="1" applyAlignment="1">
      <alignment vertical="center"/>
    </xf>
    <xf numFmtId="164" fontId="18" fillId="6" borderId="5" xfId="0" applyNumberFormat="1" applyFont="1" applyFill="1" applyBorder="1" applyAlignment="1">
      <alignment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/>
    </xf>
    <xf numFmtId="164" fontId="18" fillId="0" borderId="5" xfId="0" applyNumberFormat="1" applyFont="1" applyBorder="1"/>
    <xf numFmtId="164" fontId="0" fillId="8" borderId="5" xfId="0" applyNumberFormat="1" applyFont="1" applyFill="1" applyBorder="1"/>
    <xf numFmtId="0" fontId="0" fillId="0" borderId="5" xfId="0" applyNumberFormat="1" applyFont="1" applyBorder="1" applyAlignment="1">
      <alignment horizontal="left"/>
    </xf>
    <xf numFmtId="0" fontId="2" fillId="6" borderId="5" xfId="0" applyFont="1" applyFill="1" applyBorder="1" applyAlignment="1"/>
    <xf numFmtId="164" fontId="2" fillId="6" borderId="5" xfId="0" applyNumberFormat="1" applyFont="1" applyFill="1" applyBorder="1"/>
    <xf numFmtId="0" fontId="2" fillId="6" borderId="5" xfId="0" applyNumberFormat="1" applyFont="1" applyFill="1" applyBorder="1"/>
    <xf numFmtId="0" fontId="2" fillId="0" borderId="0" xfId="0" applyFont="1" applyFill="1" applyBorder="1" applyAlignment="1"/>
    <xf numFmtId="0" fontId="13" fillId="0" borderId="0" xfId="0" applyFont="1" applyFill="1" applyBorder="1" applyAlignment="1"/>
    <xf numFmtId="0" fontId="20" fillId="0" borderId="0" xfId="0" applyFont="1" applyFill="1" applyBorder="1"/>
    <xf numFmtId="164" fontId="20" fillId="0" borderId="0" xfId="0" applyNumberFormat="1" applyFont="1" applyFill="1"/>
    <xf numFmtId="164" fontId="20" fillId="0" borderId="0" xfId="0" applyNumberFormat="1" applyFont="1"/>
    <xf numFmtId="0" fontId="20" fillId="0" borderId="0" xfId="0" applyFont="1"/>
    <xf numFmtId="4" fontId="20" fillId="0" borderId="0" xfId="0" applyNumberFormat="1" applyFont="1"/>
    <xf numFmtId="0" fontId="21" fillId="0" borderId="0" xfId="0" applyFont="1"/>
    <xf numFmtId="164" fontId="0" fillId="0" borderId="0" xfId="0" applyNumberFormat="1"/>
    <xf numFmtId="4" fontId="0" fillId="0" borderId="0" xfId="0" applyNumberFormat="1"/>
    <xf numFmtId="164" fontId="1" fillId="0" borderId="0" xfId="0" applyNumberFormat="1" applyFont="1"/>
    <xf numFmtId="164" fontId="2" fillId="0" borderId="0" xfId="0" applyNumberFormat="1" applyFont="1" applyFill="1" applyBorder="1"/>
    <xf numFmtId="0" fontId="2" fillId="0" borderId="0" xfId="0" applyNumberFormat="1" applyFont="1" applyFill="1" applyBorder="1"/>
    <xf numFmtId="0" fontId="15" fillId="5" borderId="1" xfId="0" applyNumberFormat="1" applyFont="1" applyFill="1" applyBorder="1" applyAlignment="1">
      <alignment horizontal="center" vertical="center" wrapText="1"/>
    </xf>
    <xf numFmtId="0" fontId="15" fillId="5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 wrapText="1"/>
    </xf>
    <xf numFmtId="0" fontId="15" fillId="4" borderId="6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137-crh\SILVIE\INVESTICE\Celkov&#253;%20p&#345;ehled%20INVESTI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arilo/Desktop/Celkov&#253;%20p&#345;ehled%20INVESTIC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án investic 2016"/>
      <sheetName val="na senát (detailnější přehled)"/>
      <sheetName val="Přehled"/>
      <sheetName val="3110"/>
      <sheetName val="3111 Mat. analýza"/>
      <sheetName val="3112"/>
      <sheetName val="3113 Informatika"/>
      <sheetName val="3120"/>
      <sheetName val="3122 Experiment. Fyzika"/>
      <sheetName val="3123 Optika"/>
      <sheetName val="3125 SLO"/>
      <sheetName val="3127 Biofyzika"/>
      <sheetName val="3130"/>
      <sheetName val="3131 Anorganická chem."/>
      <sheetName val="3132 Fyzikální chem."/>
      <sheetName val="3133 Analytická chem."/>
      <sheetName val="3134 Organická chem."/>
      <sheetName val="3135 Biochemie"/>
      <sheetName val="3140"/>
      <sheetName val="3141 Botanika"/>
      <sheetName val="3142 LRR"/>
      <sheetName val="3143 Zoologie"/>
      <sheetName val="3144"/>
      <sheetName val="3145 Buněčná biologie"/>
      <sheetName val="3150"/>
      <sheetName val="3151 Geografie"/>
      <sheetName val="3152 Geologie"/>
      <sheetName val="3153 Geoinformatika"/>
      <sheetName val="3154 Rozvojová studia"/>
      <sheetName val="3137 CRH"/>
      <sheetName val="3701 CRH Biochem a proteiny"/>
      <sheetName val="3702 CRH Bioenergetika"/>
      <sheetName val="3703 CRH Biologie"/>
      <sheetName val="3704 CRH rostl. biotechnolog"/>
      <sheetName val="3705 CRH Buněčná biologie"/>
      <sheetName val="3706"/>
      <sheetName val="3707 rezerva"/>
      <sheetName val="3720 RCPTM "/>
      <sheetName val="3721 RCPTM"/>
      <sheetName val="3722 RCPTM uhlík"/>
      <sheetName val="3723 RCPTM komplexy"/>
      <sheetName val="3724 RCPTM optika"/>
      <sheetName val="3725 RCPTM kovy"/>
      <sheetName val="3726 RCPTM anal. chem"/>
      <sheetName val="3727 RCPTM Environmental"/>
      <sheetName val="3740 Centrum popularizace"/>
      <sheetName val="3741 CP provoz expozic"/>
      <sheetName val="3900 Děkanát vybavení"/>
      <sheetName val="3900 Děkanát rozvoj"/>
      <sheetName val="3900 Děkanát školka"/>
      <sheetName val="3900 Děkanát solidární fond"/>
      <sheetName val="Pokuty a penále"/>
      <sheetName val="FPP_z_HV"/>
      <sheetName val="vyrovnání záp. výsl. 2015"/>
      <sheetName val="PRACOVNÍ 3900 Děkanát vybavení"/>
      <sheetName val="PRACOVNÍ 3900 Děkanát rozvoj"/>
      <sheetName val="PRACOVNÍ 3740 Centrum pop"/>
      <sheetName val="FPP"/>
      <sheetName val="Děkanát rozvoj - PLNĚNÍ"/>
    </sheetNames>
    <sheetDataSet>
      <sheetData sheetId="0"/>
      <sheetData sheetId="1"/>
      <sheetData sheetId="2">
        <row r="5">
          <cell r="X5">
            <v>0</v>
          </cell>
          <cell r="Z5">
            <v>1004478</v>
          </cell>
        </row>
        <row r="6">
          <cell r="X6">
            <v>318500</v>
          </cell>
          <cell r="Z6">
            <v>13371212.790000005</v>
          </cell>
        </row>
        <row r="7">
          <cell r="X7">
            <v>37732</v>
          </cell>
          <cell r="Z7">
            <v>10331794.18</v>
          </cell>
        </row>
        <row r="8">
          <cell r="X8">
            <v>0</v>
          </cell>
          <cell r="Z8">
            <v>6561259.4199999999</v>
          </cell>
        </row>
        <row r="9">
          <cell r="X9">
            <v>0</v>
          </cell>
          <cell r="Z9">
            <v>1554624</v>
          </cell>
        </row>
        <row r="10">
          <cell r="X10">
            <v>-115125.1</v>
          </cell>
          <cell r="Z10">
            <v>6488503.71</v>
          </cell>
        </row>
        <row r="11">
          <cell r="X11">
            <v>-15548</v>
          </cell>
          <cell r="Z11">
            <v>8707219.6100000031</v>
          </cell>
        </row>
        <row r="12">
          <cell r="X12">
            <v>142082</v>
          </cell>
          <cell r="Z12">
            <v>3568485.7100000009</v>
          </cell>
        </row>
        <row r="13">
          <cell r="X13">
            <v>78076.13</v>
          </cell>
          <cell r="Z13">
            <v>2163171.6800000002</v>
          </cell>
        </row>
        <row r="14">
          <cell r="X14">
            <v>0</v>
          </cell>
          <cell r="Z14">
            <v>631397.54999999993</v>
          </cell>
        </row>
        <row r="15">
          <cell r="X15">
            <v>25439.600000000093</v>
          </cell>
          <cell r="Z15">
            <v>3475027.2800000003</v>
          </cell>
        </row>
        <row r="16">
          <cell r="X16">
            <v>1224389.33</v>
          </cell>
          <cell r="Z16">
            <v>676555.92</v>
          </cell>
        </row>
        <row r="17">
          <cell r="X17">
            <v>98051.189999999988</v>
          </cell>
          <cell r="Z17">
            <v>3184788.42</v>
          </cell>
        </row>
        <row r="18">
          <cell r="X18">
            <v>395484.20999999996</v>
          </cell>
          <cell r="Z18">
            <v>1346089.3600000003</v>
          </cell>
        </row>
        <row r="19">
          <cell r="X19">
            <v>3118.6500000000233</v>
          </cell>
          <cell r="Z19">
            <v>806593.92000000016</v>
          </cell>
        </row>
        <row r="20">
          <cell r="X20">
            <v>0</v>
          </cell>
          <cell r="Z20">
            <v>177000</v>
          </cell>
        </row>
        <row r="21">
          <cell r="X21">
            <v>25583</v>
          </cell>
          <cell r="Z21">
            <v>752776.54</v>
          </cell>
        </row>
        <row r="22">
          <cell r="X22">
            <v>88062</v>
          </cell>
          <cell r="Z22">
            <v>0</v>
          </cell>
        </row>
        <row r="23">
          <cell r="X23">
            <v>258797.81</v>
          </cell>
          <cell r="Z23">
            <v>3559156.05</v>
          </cell>
        </row>
        <row r="24">
          <cell r="X24">
            <v>55698</v>
          </cell>
          <cell r="Z24">
            <v>116481.83999999997</v>
          </cell>
        </row>
        <row r="25">
          <cell r="X25">
            <v>44161.450000000157</v>
          </cell>
          <cell r="Z25">
            <v>4178092.3499999987</v>
          </cell>
        </row>
        <row r="26">
          <cell r="X26">
            <v>0</v>
          </cell>
          <cell r="Z26">
            <v>0</v>
          </cell>
        </row>
        <row r="27">
          <cell r="X27">
            <v>69466</v>
          </cell>
          <cell r="Z27">
            <v>1536796.7199999997</v>
          </cell>
        </row>
        <row r="28">
          <cell r="X28">
            <v>4357.4699999999721</v>
          </cell>
          <cell r="Z28">
            <v>2103034.0200000005</v>
          </cell>
        </row>
        <row r="29">
          <cell r="X29">
            <v>0</v>
          </cell>
          <cell r="Z29">
            <v>4808601.95</v>
          </cell>
        </row>
        <row r="30">
          <cell r="X30">
            <v>0</v>
          </cell>
          <cell r="Z30">
            <v>454749.8</v>
          </cell>
        </row>
        <row r="31">
          <cell r="X31">
            <v>579339</v>
          </cell>
          <cell r="Z31">
            <v>256891.2900000001</v>
          </cell>
        </row>
        <row r="32">
          <cell r="X32">
            <v>7890</v>
          </cell>
          <cell r="Z32">
            <v>19888.519999999917</v>
          </cell>
        </row>
        <row r="33">
          <cell r="X33">
            <v>1844.2599999998929</v>
          </cell>
          <cell r="Z33">
            <v>2073898.1899999995</v>
          </cell>
        </row>
        <row r="34">
          <cell r="X34">
            <v>-141439.14000000013</v>
          </cell>
          <cell r="Z34">
            <v>64783.900000000023</v>
          </cell>
        </row>
        <row r="35">
          <cell r="X35">
            <v>460870.45</v>
          </cell>
          <cell r="Z35">
            <v>891407.7100000002</v>
          </cell>
        </row>
        <row r="36">
          <cell r="X36">
            <v>114162.00000000047</v>
          </cell>
          <cell r="Z36">
            <v>0</v>
          </cell>
        </row>
        <row r="37">
          <cell r="X37">
            <v>9738.9900000000052</v>
          </cell>
          <cell r="Z37">
            <v>50839.200000000004</v>
          </cell>
        </row>
        <row r="38">
          <cell r="X38">
            <v>0</v>
          </cell>
          <cell r="Z38">
            <v>0</v>
          </cell>
        </row>
        <row r="39">
          <cell r="X39">
            <v>-1973151.1300000001</v>
          </cell>
          <cell r="Z39">
            <v>967931.48000000033</v>
          </cell>
        </row>
        <row r="40">
          <cell r="X40">
            <v>421104</v>
          </cell>
          <cell r="Z40">
            <v>2.9999999795109034E-2</v>
          </cell>
        </row>
        <row r="41">
          <cell r="X41">
            <v>44522.25</v>
          </cell>
          <cell r="Z41">
            <v>170639.25</v>
          </cell>
        </row>
        <row r="42">
          <cell r="X42">
            <v>40007.399999999907</v>
          </cell>
          <cell r="Z42">
            <v>3092193.790000001</v>
          </cell>
        </row>
        <row r="43">
          <cell r="X43">
            <v>572785.08000000007</v>
          </cell>
          <cell r="Z43">
            <v>9665576.709999999</v>
          </cell>
        </row>
        <row r="44">
          <cell r="X44">
            <v>149852</v>
          </cell>
          <cell r="Z44">
            <v>0</v>
          </cell>
        </row>
        <row r="45">
          <cell r="X45">
            <v>-153113.53000000003</v>
          </cell>
          <cell r="Z45">
            <v>192026.79999999906</v>
          </cell>
        </row>
        <row r="46">
          <cell r="X46">
            <v>40464</v>
          </cell>
          <cell r="Z46">
            <v>0</v>
          </cell>
        </row>
        <row r="47">
          <cell r="X47">
            <v>0</v>
          </cell>
          <cell r="Z47">
            <v>-33182355.460000001</v>
          </cell>
        </row>
        <row r="48">
          <cell r="X48">
            <v>0</v>
          </cell>
          <cell r="Z48">
            <v>-1536491.86</v>
          </cell>
        </row>
        <row r="49">
          <cell r="X49">
            <v>1110798.56</v>
          </cell>
          <cell r="Z49">
            <v>1084257.2400000012</v>
          </cell>
        </row>
        <row r="50">
          <cell r="X50">
            <v>91455.229999999749</v>
          </cell>
          <cell r="Z50">
            <v>13126409.679999996</v>
          </cell>
        </row>
        <row r="51">
          <cell r="X51">
            <v>0</v>
          </cell>
          <cell r="Z51">
            <v>2119594.9</v>
          </cell>
        </row>
        <row r="52">
          <cell r="X52">
            <v>0</v>
          </cell>
          <cell r="Z52">
            <v>0</v>
          </cell>
        </row>
        <row r="53">
          <cell r="X53">
            <v>0</v>
          </cell>
          <cell r="Z53">
            <v>-649873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A1" t="str">
            <v>FPP HV</v>
          </cell>
        </row>
      </sheetData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án investic 2017"/>
      <sheetName val="na senát (detailnější přehled)"/>
      <sheetName val="Přehled"/>
      <sheetName val="3110"/>
      <sheetName val="3111 Mat. analýza"/>
      <sheetName val="3112"/>
      <sheetName val="3113 Informatika"/>
      <sheetName val="3120"/>
      <sheetName val="3122 Experiment. Fyzika"/>
      <sheetName val="3123 Optika"/>
      <sheetName val="3125 SLO"/>
      <sheetName val="3127 Biofyzika"/>
      <sheetName val="3130"/>
      <sheetName val="3131 Anorganická chem."/>
      <sheetName val="3132 Fyzikální chem."/>
      <sheetName val="3133 Analytická chem."/>
      <sheetName val="3134 Organická chem."/>
      <sheetName val="3135 Biochemie"/>
      <sheetName val="3140"/>
      <sheetName val="3141 Botanika"/>
      <sheetName val="3142 LRR"/>
      <sheetName val="3143 Zoologie"/>
      <sheetName val="3144"/>
      <sheetName val="3145 Buněčná biologie"/>
      <sheetName val="3150"/>
      <sheetName val="3151 Geografie"/>
      <sheetName val="3152 Geologie"/>
      <sheetName val="3153 Geoinformatika"/>
      <sheetName val="3154 Rozvojová studia"/>
      <sheetName val="3137 CRH"/>
      <sheetName val="3701 CRH Biochem a proteiny"/>
      <sheetName val="3702 CRH Bioenergetika"/>
      <sheetName val="3703 CRH Biologie"/>
      <sheetName val="3704 CRH rostl. biotechnolog"/>
      <sheetName val="3705 CRH Buněčná biologie"/>
      <sheetName val="3706 CRH_"/>
      <sheetName val="3707 rezerva"/>
      <sheetName val="3708 rezerva"/>
      <sheetName val="3720 RCPTM "/>
      <sheetName val="3721 RCPTM"/>
      <sheetName val="3722 RCPTM uhlík"/>
      <sheetName val="3723 RCPTM komplexy"/>
      <sheetName val="3724 RCPTM optika"/>
      <sheetName val="3725 RCPTM kovy"/>
      <sheetName val="3726 RCPTM anal. chem"/>
      <sheetName val="3727 RCPTM Environmental"/>
      <sheetName val="3728 RCPTM "/>
      <sheetName val="3729 RCPTM  rezerva"/>
      <sheetName val="3730 RCPTM  rezerva"/>
      <sheetName val="3740 Centrum pop_dokončení"/>
      <sheetName val="3741_Provoz_expozic_dokončení _"/>
      <sheetName val="3900_1 Děkanát vybavení"/>
      <sheetName val="3900_2 Děkanát rozvoj"/>
      <sheetName val="3900_3 Internacionalizace"/>
      <sheetName val="3900_4 Děkanát solidární fond"/>
      <sheetName val="3900_5 Pokuty a penále"/>
      <sheetName val="FPP_z_HV"/>
      <sheetName val="vyrovnání záp. výsl. 2016"/>
      <sheetName val="FPP"/>
    </sheetNames>
    <sheetDataSet>
      <sheetData sheetId="0" refreshError="1"/>
      <sheetData sheetId="1" refreshError="1"/>
      <sheetData sheetId="2" refreshError="1"/>
      <sheetData sheetId="3">
        <row r="11">
          <cell r="C11">
            <v>50000</v>
          </cell>
          <cell r="D11">
            <v>0</v>
          </cell>
          <cell r="F11">
            <v>0</v>
          </cell>
          <cell r="G11">
            <v>0</v>
          </cell>
          <cell r="H11">
            <v>49876</v>
          </cell>
        </row>
      </sheetData>
      <sheetData sheetId="4">
        <row r="12">
          <cell r="C12">
            <v>500000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5"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6">
        <row r="12">
          <cell r="C12">
            <v>90000</v>
          </cell>
          <cell r="D12">
            <v>0</v>
          </cell>
          <cell r="F12">
            <v>102850</v>
          </cell>
          <cell r="G12">
            <v>0</v>
          </cell>
          <cell r="H12">
            <v>0</v>
          </cell>
        </row>
      </sheetData>
      <sheetData sheetId="7"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8">
        <row r="30">
          <cell r="C30">
            <v>1876300</v>
          </cell>
          <cell r="D30">
            <v>254431</v>
          </cell>
          <cell r="F30">
            <v>134347.97</v>
          </cell>
          <cell r="G30">
            <v>0</v>
          </cell>
          <cell r="H30">
            <v>709583.49</v>
          </cell>
        </row>
      </sheetData>
      <sheetData sheetId="9">
        <row r="30">
          <cell r="C30">
            <v>2290000</v>
          </cell>
          <cell r="D30">
            <v>2908212</v>
          </cell>
          <cell r="F30">
            <v>408588.61000000004</v>
          </cell>
          <cell r="G30">
            <v>0</v>
          </cell>
          <cell r="H30">
            <v>1079732.5700000003</v>
          </cell>
        </row>
      </sheetData>
      <sheetData sheetId="10">
        <row r="14">
          <cell r="C14">
            <v>0</v>
          </cell>
          <cell r="D14">
            <v>0</v>
          </cell>
          <cell r="F14">
            <v>210807.84</v>
          </cell>
          <cell r="G14">
            <v>0</v>
          </cell>
          <cell r="H14">
            <v>0</v>
          </cell>
        </row>
      </sheetData>
      <sheetData sheetId="11">
        <row r="26">
          <cell r="C26">
            <v>500000</v>
          </cell>
          <cell r="D26">
            <v>340769</v>
          </cell>
          <cell r="F26">
            <v>80000</v>
          </cell>
          <cell r="G26">
            <v>0</v>
          </cell>
          <cell r="H26">
            <v>368813.99999999977</v>
          </cell>
        </row>
      </sheetData>
      <sheetData sheetId="12"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13"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14">
        <row r="27">
          <cell r="C27">
            <v>250000</v>
          </cell>
          <cell r="D27">
            <v>765765</v>
          </cell>
          <cell r="F27">
            <v>54208</v>
          </cell>
          <cell r="G27">
            <v>0</v>
          </cell>
          <cell r="H27">
            <v>2421.8999999999996</v>
          </cell>
        </row>
      </sheetData>
      <sheetData sheetId="15">
        <row r="14">
          <cell r="C14">
            <v>1122000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</row>
      </sheetData>
      <sheetData sheetId="16">
        <row r="15">
          <cell r="C15">
            <v>0</v>
          </cell>
          <cell r="D15">
            <v>0</v>
          </cell>
          <cell r="F15">
            <v>352086.41</v>
          </cell>
          <cell r="G15">
            <v>0</v>
          </cell>
          <cell r="H15">
            <v>823398</v>
          </cell>
        </row>
      </sheetData>
      <sheetData sheetId="17">
        <row r="27">
          <cell r="C27">
            <v>0</v>
          </cell>
          <cell r="D27">
            <v>70414.5</v>
          </cell>
          <cell r="F27">
            <v>0</v>
          </cell>
          <cell r="G27">
            <v>0</v>
          </cell>
          <cell r="H27">
            <v>3498.2999999999993</v>
          </cell>
        </row>
      </sheetData>
      <sheetData sheetId="18"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19">
        <row r="13">
          <cell r="C13">
            <v>370000</v>
          </cell>
          <cell r="D13">
            <v>0</v>
          </cell>
          <cell r="F13">
            <v>49985</v>
          </cell>
          <cell r="G13">
            <v>0</v>
          </cell>
          <cell r="H13">
            <v>0</v>
          </cell>
        </row>
      </sheetData>
      <sheetData sheetId="20">
        <row r="15">
          <cell r="C15">
            <v>1100580.6099999999</v>
          </cell>
          <cell r="D15">
            <v>0</v>
          </cell>
          <cell r="F15">
            <v>1084038.33</v>
          </cell>
          <cell r="G15">
            <v>0</v>
          </cell>
          <cell r="H15">
            <v>0</v>
          </cell>
        </row>
      </sheetData>
      <sheetData sheetId="21">
        <row r="18">
          <cell r="C18">
            <v>60000</v>
          </cell>
          <cell r="D18">
            <v>0</v>
          </cell>
          <cell r="F18">
            <v>57799</v>
          </cell>
          <cell r="G18">
            <v>0</v>
          </cell>
          <cell r="H18">
            <v>0</v>
          </cell>
        </row>
      </sheetData>
      <sheetData sheetId="22">
        <row r="11">
          <cell r="C11">
            <v>12000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23">
        <row r="15">
          <cell r="C15">
            <v>300000</v>
          </cell>
          <cell r="D15">
            <v>0</v>
          </cell>
          <cell r="F15">
            <v>349760.43</v>
          </cell>
          <cell r="G15">
            <v>0</v>
          </cell>
          <cell r="H15">
            <v>0</v>
          </cell>
        </row>
      </sheetData>
      <sheetData sheetId="24"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25"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760060</v>
          </cell>
        </row>
      </sheetData>
      <sheetData sheetId="26">
        <row r="13">
          <cell r="C13">
            <v>150000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</row>
      </sheetData>
      <sheetData sheetId="27"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28"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316692</v>
          </cell>
        </row>
      </sheetData>
      <sheetData sheetId="29">
        <row r="11">
          <cell r="C11">
            <v>462220</v>
          </cell>
          <cell r="D11">
            <v>19950</v>
          </cell>
          <cell r="F11">
            <v>462220</v>
          </cell>
          <cell r="G11">
            <v>0</v>
          </cell>
          <cell r="H11">
            <v>0</v>
          </cell>
        </row>
      </sheetData>
      <sheetData sheetId="30">
        <row r="14">
          <cell r="C14">
            <v>250000</v>
          </cell>
          <cell r="D14">
            <v>0</v>
          </cell>
          <cell r="F14">
            <v>199955.83</v>
          </cell>
          <cell r="G14">
            <v>0</v>
          </cell>
          <cell r="H14">
            <v>75857.87</v>
          </cell>
        </row>
      </sheetData>
      <sheetData sheetId="31">
        <row r="16">
          <cell r="C16">
            <v>55285</v>
          </cell>
          <cell r="D16">
            <v>0</v>
          </cell>
          <cell r="F16">
            <v>-933301.76000000001</v>
          </cell>
          <cell r="G16">
            <v>0</v>
          </cell>
          <cell r="H16">
            <v>52598.42</v>
          </cell>
        </row>
      </sheetData>
      <sheetData sheetId="32">
        <row r="18">
          <cell r="C18">
            <v>0</v>
          </cell>
          <cell r="D18">
            <v>0</v>
          </cell>
          <cell r="F18">
            <v>260440.84</v>
          </cell>
          <cell r="G18">
            <v>0</v>
          </cell>
          <cell r="H18">
            <v>0</v>
          </cell>
        </row>
      </sheetData>
      <sheetData sheetId="33">
        <row r="12">
          <cell r="C12">
            <v>0</v>
          </cell>
          <cell r="D12">
            <v>0</v>
          </cell>
          <cell r="F12">
            <v>46589.35</v>
          </cell>
          <cell r="G12">
            <v>0</v>
          </cell>
          <cell r="H12">
            <v>0</v>
          </cell>
        </row>
      </sheetData>
      <sheetData sheetId="34">
        <row r="15">
          <cell r="C15">
            <v>5525000</v>
          </cell>
          <cell r="D15">
            <v>3000000</v>
          </cell>
          <cell r="F15">
            <v>247508</v>
          </cell>
          <cell r="G15">
            <v>4859892.82</v>
          </cell>
          <cell r="H15">
            <v>418602.2</v>
          </cell>
        </row>
      </sheetData>
      <sheetData sheetId="35"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36"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37">
        <row r="12">
          <cell r="C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38">
        <row r="18">
          <cell r="C18">
            <v>0</v>
          </cell>
          <cell r="D18">
            <v>238700</v>
          </cell>
          <cell r="F18">
            <v>0</v>
          </cell>
          <cell r="G18">
            <v>0</v>
          </cell>
          <cell r="H18">
            <v>50671.56</v>
          </cell>
        </row>
      </sheetData>
      <sheetData sheetId="39">
        <row r="13">
          <cell r="C13">
            <v>6000000</v>
          </cell>
          <cell r="D13">
            <v>0</v>
          </cell>
          <cell r="F13">
            <v>0</v>
          </cell>
          <cell r="G13">
            <v>62968.28</v>
          </cell>
          <cell r="H13">
            <v>0</v>
          </cell>
        </row>
      </sheetData>
      <sheetData sheetId="40">
        <row r="20">
          <cell r="C20">
            <v>5260000</v>
          </cell>
          <cell r="D20">
            <v>0</v>
          </cell>
          <cell r="F20">
            <v>1421708.88</v>
          </cell>
          <cell r="G20">
            <v>763636.48</v>
          </cell>
          <cell r="H20">
            <v>0</v>
          </cell>
        </row>
      </sheetData>
      <sheetData sheetId="41">
        <row r="17">
          <cell r="C17">
            <v>0</v>
          </cell>
          <cell r="D17">
            <v>0</v>
          </cell>
          <cell r="F17">
            <v>130002</v>
          </cell>
          <cell r="G17">
            <v>0</v>
          </cell>
          <cell r="H17">
            <v>0</v>
          </cell>
        </row>
      </sheetData>
      <sheetData sheetId="42">
        <row r="29">
          <cell r="C29">
            <v>8778500</v>
          </cell>
          <cell r="D29">
            <v>6400814.4600000009</v>
          </cell>
          <cell r="F29">
            <v>981459.06</v>
          </cell>
          <cell r="G29">
            <v>0</v>
          </cell>
          <cell r="H29">
            <v>193244.40999999997</v>
          </cell>
        </row>
      </sheetData>
      <sheetData sheetId="43">
        <row r="14">
          <cell r="C14">
            <v>0</v>
          </cell>
          <cell r="D14">
            <v>0</v>
          </cell>
          <cell r="F14">
            <v>483560</v>
          </cell>
          <cell r="G14">
            <v>64000</v>
          </cell>
          <cell r="H14">
            <v>0</v>
          </cell>
        </row>
      </sheetData>
      <sheetData sheetId="44">
        <row r="16">
          <cell r="C16">
            <v>0</v>
          </cell>
          <cell r="D16">
            <v>0</v>
          </cell>
          <cell r="F16">
            <v>221854.47</v>
          </cell>
          <cell r="G16">
            <v>0</v>
          </cell>
          <cell r="H16">
            <v>0</v>
          </cell>
        </row>
      </sheetData>
      <sheetData sheetId="45">
        <row r="12">
          <cell r="C12">
            <v>1300000</v>
          </cell>
          <cell r="D12">
            <v>0</v>
          </cell>
          <cell r="F12">
            <v>0</v>
          </cell>
          <cell r="G12">
            <v>64000</v>
          </cell>
          <cell r="H12">
            <v>0</v>
          </cell>
        </row>
      </sheetData>
      <sheetData sheetId="46">
        <row r="19">
          <cell r="C19">
            <v>799500</v>
          </cell>
          <cell r="D19">
            <v>101000</v>
          </cell>
          <cell r="F19">
            <v>0</v>
          </cell>
          <cell r="G19">
            <v>185502.41999999998</v>
          </cell>
          <cell r="H19">
            <v>0</v>
          </cell>
        </row>
      </sheetData>
      <sheetData sheetId="47"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48"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49"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</sheetData>
      <sheetData sheetId="50"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51">
        <row r="17">
          <cell r="C17">
            <v>2749885</v>
          </cell>
          <cell r="D17">
            <v>0</v>
          </cell>
          <cell r="F17">
            <v>629921.51</v>
          </cell>
          <cell r="G17">
            <v>0</v>
          </cell>
          <cell r="H17">
            <v>337909.42000000004</v>
          </cell>
        </row>
      </sheetData>
      <sheetData sheetId="52">
        <row r="35">
          <cell r="C35">
            <v>37330000</v>
          </cell>
          <cell r="D35">
            <v>0</v>
          </cell>
          <cell r="F35">
            <v>7545124.830000001</v>
          </cell>
          <cell r="G35">
            <v>0</v>
          </cell>
          <cell r="H35">
            <v>5738033.0299999993</v>
          </cell>
        </row>
      </sheetData>
      <sheetData sheetId="53"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</sheetData>
      <sheetData sheetId="54"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</sheetData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que.bergougnoux-fojtik@upol.cz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C69"/>
  <sheetViews>
    <sheetView tabSelected="1" zoomScale="85" zoomScaleNormal="85" workbookViewId="0">
      <pane xSplit="3" ySplit="7" topLeftCell="E54" activePane="bottomRight" state="frozen"/>
      <selection activeCell="A2" sqref="A2"/>
      <selection pane="topRight" activeCell="D2" sqref="D2"/>
      <selection pane="bottomLeft" activeCell="A5" sqref="A5"/>
      <selection pane="bottomRight" activeCell="O65" sqref="O65"/>
    </sheetView>
  </sheetViews>
  <sheetFormatPr defaultRowHeight="14.4" x14ac:dyDescent="0.3"/>
  <cols>
    <col min="1" max="1" width="2.5546875" customWidth="1"/>
    <col min="2" max="2" width="9" bestFit="1" customWidth="1"/>
    <col min="3" max="3" width="23.5546875" customWidth="1"/>
    <col min="4" max="4" width="38.44140625" hidden="1" customWidth="1"/>
    <col min="5" max="5" width="21.5546875" customWidth="1"/>
    <col min="6" max="6" width="11.6640625" hidden="1" customWidth="1"/>
    <col min="7" max="7" width="20.44140625" hidden="1" customWidth="1"/>
    <col min="8" max="8" width="19.33203125" hidden="1" customWidth="1"/>
    <col min="9" max="9" width="16" hidden="1" customWidth="1"/>
    <col min="10" max="10" width="18" hidden="1" customWidth="1"/>
    <col min="11" max="11" width="19.5546875" hidden="1" customWidth="1"/>
    <col min="12" max="12" width="19.88671875" hidden="1" customWidth="1"/>
    <col min="13" max="13" width="21.109375" hidden="1" customWidth="1"/>
    <col min="14" max="14" width="19.33203125" hidden="1" customWidth="1"/>
    <col min="15" max="15" width="21.33203125" customWidth="1"/>
    <col min="16" max="16" width="28.109375" customWidth="1"/>
    <col min="17" max="17" width="20.88671875" customWidth="1"/>
    <col min="18" max="18" width="20.6640625" hidden="1" customWidth="1"/>
    <col min="19" max="19" width="23" customWidth="1"/>
    <col min="20" max="20" width="19.109375" customWidth="1"/>
    <col min="21" max="21" width="20.44140625" customWidth="1"/>
    <col min="22" max="22" width="21.33203125" customWidth="1"/>
    <col min="23" max="23" width="20.5546875" hidden="1" customWidth="1"/>
    <col min="24" max="24" width="18.5546875" customWidth="1"/>
    <col min="25" max="25" width="18.88671875" customWidth="1"/>
    <col min="26" max="26" width="20" customWidth="1"/>
    <col min="27" max="27" width="16.109375" customWidth="1"/>
    <col min="28" max="28" width="20.44140625" hidden="1" customWidth="1"/>
    <col min="29" max="29" width="9.109375" customWidth="1"/>
  </cols>
  <sheetData>
    <row r="1" spans="2:29" ht="11.25" customHeight="1" x14ac:dyDescent="0.25"/>
    <row r="2" spans="2:29" ht="12.75" customHeight="1" x14ac:dyDescent="0.3">
      <c r="B2" s="1" t="s">
        <v>131</v>
      </c>
    </row>
    <row r="3" spans="2:29" ht="31.5" hidden="1" x14ac:dyDescent="0.5">
      <c r="D3" s="2"/>
      <c r="E3" s="3"/>
      <c r="F3" s="4"/>
      <c r="H3" s="4"/>
      <c r="I3" s="3"/>
      <c r="J3" s="4"/>
      <c r="O3" t="s">
        <v>0</v>
      </c>
      <c r="S3" s="5">
        <v>80</v>
      </c>
      <c r="T3" s="6">
        <v>30</v>
      </c>
      <c r="U3" s="7">
        <v>81</v>
      </c>
      <c r="V3" s="8"/>
      <c r="W3" s="8"/>
      <c r="X3" s="9">
        <v>80</v>
      </c>
      <c r="Y3" s="10">
        <v>30</v>
      </c>
      <c r="Z3" s="11">
        <v>81</v>
      </c>
    </row>
    <row r="4" spans="2:29" ht="21" customHeight="1" x14ac:dyDescent="0.4">
      <c r="B4" s="12" t="s">
        <v>1</v>
      </c>
      <c r="D4" s="12"/>
      <c r="E4" s="13"/>
      <c r="G4" s="14"/>
      <c r="H4" s="3"/>
      <c r="I4" s="3"/>
      <c r="J4" s="3"/>
      <c r="K4" s="3"/>
      <c r="L4" s="3"/>
      <c r="O4" s="3"/>
      <c r="P4" s="3"/>
      <c r="Q4" s="3"/>
      <c r="R4" s="3"/>
      <c r="S4" s="15"/>
      <c r="T4" s="16"/>
      <c r="U4" s="17"/>
      <c r="V4" s="3"/>
      <c r="W4" s="3"/>
      <c r="X4" s="15"/>
      <c r="Y4" s="16"/>
      <c r="Z4" s="17"/>
      <c r="AA4" s="3"/>
      <c r="AB4" s="3"/>
      <c r="AC4" s="3"/>
    </row>
    <row r="5" spans="2:29" ht="3.75" customHeight="1" x14ac:dyDescent="0.5">
      <c r="C5" s="18"/>
      <c r="D5" s="2"/>
      <c r="E5" s="3"/>
      <c r="G5" s="14"/>
      <c r="H5" s="3"/>
      <c r="I5" s="3"/>
      <c r="J5" s="3"/>
      <c r="K5" s="3"/>
      <c r="L5" s="3"/>
      <c r="O5" s="3"/>
      <c r="P5" s="3"/>
      <c r="Q5" s="3"/>
      <c r="R5" s="3"/>
      <c r="S5" s="15"/>
      <c r="T5" s="16"/>
      <c r="U5" s="17"/>
      <c r="V5" s="3"/>
      <c r="W5" s="3"/>
      <c r="X5" s="15"/>
      <c r="Y5" s="16"/>
      <c r="Z5" s="17"/>
      <c r="AA5" s="3"/>
      <c r="AB5" s="3"/>
      <c r="AC5" s="3"/>
    </row>
    <row r="6" spans="2:29" ht="15" customHeight="1" x14ac:dyDescent="0.35">
      <c r="B6" s="76" t="s">
        <v>2</v>
      </c>
      <c r="C6" s="76" t="s">
        <v>3</v>
      </c>
      <c r="D6" s="78" t="s">
        <v>4</v>
      </c>
      <c r="E6" s="80" t="s">
        <v>5</v>
      </c>
      <c r="F6" s="80" t="s">
        <v>6</v>
      </c>
      <c r="G6" s="73" t="s">
        <v>7</v>
      </c>
      <c r="H6" s="80" t="s">
        <v>8</v>
      </c>
      <c r="I6" s="80" t="s">
        <v>9</v>
      </c>
      <c r="J6" s="73" t="s">
        <v>10</v>
      </c>
      <c r="K6" s="80" t="s">
        <v>11</v>
      </c>
      <c r="L6" s="80" t="s">
        <v>12</v>
      </c>
      <c r="M6" s="80" t="s">
        <v>13</v>
      </c>
      <c r="N6" s="80" t="s">
        <v>14</v>
      </c>
      <c r="O6" s="19"/>
      <c r="P6" s="80" t="s">
        <v>15</v>
      </c>
      <c r="Q6" s="82" t="s">
        <v>16</v>
      </c>
      <c r="R6" s="83"/>
      <c r="S6" s="83"/>
      <c r="T6" s="83"/>
      <c r="U6" s="84"/>
      <c r="V6" s="20" t="s">
        <v>17</v>
      </c>
      <c r="W6" s="21" t="s">
        <v>18</v>
      </c>
      <c r="X6" s="21"/>
      <c r="Y6" s="21"/>
      <c r="Z6" s="21"/>
      <c r="AB6" s="85" t="s">
        <v>19</v>
      </c>
    </row>
    <row r="7" spans="2:29" ht="135.75" customHeight="1" x14ac:dyDescent="0.3">
      <c r="B7" s="77"/>
      <c r="C7" s="77"/>
      <c r="D7" s="79"/>
      <c r="E7" s="81"/>
      <c r="F7" s="81"/>
      <c r="G7" s="74"/>
      <c r="H7" s="81"/>
      <c r="I7" s="81"/>
      <c r="J7" s="74"/>
      <c r="K7" s="81"/>
      <c r="L7" s="81"/>
      <c r="M7" s="81"/>
      <c r="N7" s="81"/>
      <c r="O7" s="22" t="s">
        <v>20</v>
      </c>
      <c r="P7" s="81"/>
      <c r="Q7" s="23" t="s">
        <v>21</v>
      </c>
      <c r="R7" s="24" t="s">
        <v>22</v>
      </c>
      <c r="S7" s="24" t="s">
        <v>23</v>
      </c>
      <c r="T7" s="24" t="s">
        <v>24</v>
      </c>
      <c r="U7" s="24" t="s">
        <v>25</v>
      </c>
      <c r="V7" s="25" t="s">
        <v>26</v>
      </c>
      <c r="W7" s="25" t="s">
        <v>27</v>
      </c>
      <c r="X7" s="21" t="s">
        <v>28</v>
      </c>
      <c r="Y7" s="21" t="s">
        <v>29</v>
      </c>
      <c r="Z7" s="21" t="s">
        <v>30</v>
      </c>
      <c r="AB7" s="86" t="s">
        <v>31</v>
      </c>
    </row>
    <row r="8" spans="2:29" s="2" customFormat="1" ht="15" customHeight="1" x14ac:dyDescent="0.25">
      <c r="B8" s="26">
        <v>3110</v>
      </c>
      <c r="C8" s="27" t="s">
        <v>32</v>
      </c>
      <c r="D8" s="27" t="s">
        <v>33</v>
      </c>
      <c r="E8" s="28">
        <f t="shared" ref="E8:E19" ca="1" si="0">IF(F8="",G8+SUMIF($F$8:$G$60,B8,$G$8:$G$60),0)</f>
        <v>1004478</v>
      </c>
      <c r="F8" s="29"/>
      <c r="G8" s="28">
        <f>[1]Přehled!Z5+H8</f>
        <v>1004478</v>
      </c>
      <c r="H8" s="28">
        <v>0</v>
      </c>
      <c r="I8" s="28"/>
      <c r="J8" s="28">
        <f>[1]Přehled!X5</f>
        <v>0</v>
      </c>
      <c r="K8" s="28">
        <v>0</v>
      </c>
      <c r="L8" s="28">
        <f>K8</f>
        <v>0</v>
      </c>
      <c r="M8" s="28">
        <f>N8-K8</f>
        <v>0</v>
      </c>
      <c r="N8" s="28">
        <v>0</v>
      </c>
      <c r="O8" s="28">
        <f>I8+J8+L8+M8</f>
        <v>0</v>
      </c>
      <c r="P8" s="28">
        <v>0</v>
      </c>
      <c r="Q8" s="28">
        <f>'[2]3110'!C11</f>
        <v>50000</v>
      </c>
      <c r="R8" s="28">
        <f>'[2]3110'!D11</f>
        <v>0</v>
      </c>
      <c r="S8" s="28">
        <f>'[2]3110'!F11</f>
        <v>0</v>
      </c>
      <c r="T8" s="28">
        <f>'[2]3110'!G11</f>
        <v>0</v>
      </c>
      <c r="U8" s="28">
        <f>'[2]3110'!H11</f>
        <v>49876</v>
      </c>
      <c r="V8" s="28">
        <v>34570</v>
      </c>
      <c r="W8" s="28">
        <f t="shared" ref="W8:W50" ca="1" si="1">E8-V8</f>
        <v>969908</v>
      </c>
      <c r="X8" s="28">
        <f>O8-S8</f>
        <v>0</v>
      </c>
      <c r="Y8" s="28">
        <f>P8-T8</f>
        <v>0</v>
      </c>
      <c r="Z8" s="28">
        <f t="shared" ref="Z8:Z60" ca="1" si="2">E8-U8-V8</f>
        <v>920032</v>
      </c>
      <c r="AA8" s="30"/>
      <c r="AB8" s="31">
        <f t="shared" ref="AB8:AB41" si="3">IF(X8&gt;0,J8+K8+X8-L8,J8+K8-L8)</f>
        <v>0</v>
      </c>
    </row>
    <row r="9" spans="2:29" s="2" customFormat="1" ht="15" customHeight="1" x14ac:dyDescent="0.3">
      <c r="B9" s="26">
        <v>3111</v>
      </c>
      <c r="C9" s="32" t="s">
        <v>34</v>
      </c>
      <c r="D9" s="32" t="s">
        <v>35</v>
      </c>
      <c r="E9" s="33">
        <f t="shared" ca="1" si="0"/>
        <v>13485659.840000005</v>
      </c>
      <c r="F9" s="34"/>
      <c r="G9" s="33">
        <f>[1]Přehled!Z6+H9</f>
        <v>13485659.840000005</v>
      </c>
      <c r="H9" s="33">
        <f>104267.15+10179.9</f>
        <v>114447.04999999999</v>
      </c>
      <c r="I9" s="33"/>
      <c r="J9" s="33">
        <f>[1]Přehled!X6</f>
        <v>318500</v>
      </c>
      <c r="K9" s="33">
        <v>325630</v>
      </c>
      <c r="L9" s="33">
        <f>K9-644130</f>
        <v>-318500</v>
      </c>
      <c r="M9" s="33">
        <f t="shared" ref="M9:M42" si="4">N9-K9</f>
        <v>0</v>
      </c>
      <c r="N9" s="33">
        <v>325630</v>
      </c>
      <c r="O9" s="33">
        <f>I9+J9+L9+M9</f>
        <v>0</v>
      </c>
      <c r="P9" s="33">
        <v>0</v>
      </c>
      <c r="Q9" s="33">
        <f>'[2]3111 Mat. analýza'!C12</f>
        <v>500000</v>
      </c>
      <c r="R9" s="33">
        <f>'[2]3111 Mat. analýza'!D12</f>
        <v>0</v>
      </c>
      <c r="S9" s="33">
        <f>'[2]3111 Mat. analýza'!F12</f>
        <v>0</v>
      </c>
      <c r="T9" s="33">
        <f>'[2]3111 Mat. analýza'!G12</f>
        <v>0</v>
      </c>
      <c r="U9" s="33">
        <f>'[2]3111 Mat. analýza'!H12</f>
        <v>0</v>
      </c>
      <c r="V9" s="33">
        <f>106668.95+10195.73</f>
        <v>116864.68</v>
      </c>
      <c r="W9" s="33">
        <f t="shared" ca="1" si="1"/>
        <v>13368795.160000006</v>
      </c>
      <c r="X9" s="33">
        <f t="shared" ref="X9:Y41" si="5">O9-S9</f>
        <v>0</v>
      </c>
      <c r="Y9" s="33">
        <f t="shared" si="5"/>
        <v>0</v>
      </c>
      <c r="Z9" s="33">
        <f t="shared" ca="1" si="2"/>
        <v>13368795.160000006</v>
      </c>
      <c r="AA9" s="30"/>
      <c r="AB9" s="35">
        <f t="shared" si="3"/>
        <v>962630</v>
      </c>
    </row>
    <row r="10" spans="2:29" s="2" customFormat="1" ht="15" customHeight="1" x14ac:dyDescent="0.3">
      <c r="B10" s="26">
        <v>3112</v>
      </c>
      <c r="C10" s="32" t="s">
        <v>36</v>
      </c>
      <c r="D10" s="32" t="s">
        <v>37</v>
      </c>
      <c r="E10" s="33">
        <f t="shared" ca="1" si="0"/>
        <v>10331794.18</v>
      </c>
      <c r="F10" s="34"/>
      <c r="G10" s="33">
        <f>[1]Přehled!Z7+H10</f>
        <v>10331794.18</v>
      </c>
      <c r="H10" s="33">
        <v>0</v>
      </c>
      <c r="I10" s="33"/>
      <c r="J10" s="33">
        <f>[1]Přehled!X7</f>
        <v>37732</v>
      </c>
      <c r="K10" s="33">
        <v>15309</v>
      </c>
      <c r="L10" s="33">
        <f t="shared" ref="L10:L41" si="6">K10</f>
        <v>15309</v>
      </c>
      <c r="M10" s="33">
        <f t="shared" si="4"/>
        <v>0</v>
      </c>
      <c r="N10" s="33">
        <v>15309</v>
      </c>
      <c r="O10" s="33">
        <f t="shared" ref="O10:O60" si="7">I10+J10+L10+M10</f>
        <v>53041</v>
      </c>
      <c r="P10" s="33">
        <v>0</v>
      </c>
      <c r="Q10" s="33">
        <f>'[2]3112'!C11</f>
        <v>0</v>
      </c>
      <c r="R10" s="33">
        <f>'[2]3112'!D11</f>
        <v>0</v>
      </c>
      <c r="S10" s="33">
        <f>'[2]3112'!F11</f>
        <v>0</v>
      </c>
      <c r="T10" s="33">
        <f>'[2]3112'!G11</f>
        <v>0</v>
      </c>
      <c r="U10" s="33">
        <f>'[2]3112'!H11</f>
        <v>0</v>
      </c>
      <c r="V10" s="33">
        <v>315617.33</v>
      </c>
      <c r="W10" s="33">
        <f t="shared" ca="1" si="1"/>
        <v>10016176.85</v>
      </c>
      <c r="X10" s="33">
        <f t="shared" si="5"/>
        <v>53041</v>
      </c>
      <c r="Y10" s="33">
        <f t="shared" si="5"/>
        <v>0</v>
      </c>
      <c r="Z10" s="33">
        <f t="shared" ca="1" si="2"/>
        <v>10016176.85</v>
      </c>
      <c r="AA10" s="30"/>
      <c r="AB10" s="35">
        <f t="shared" si="3"/>
        <v>90773</v>
      </c>
    </row>
    <row r="11" spans="2:29" s="2" customFormat="1" ht="15" customHeight="1" x14ac:dyDescent="0.3">
      <c r="B11" s="26">
        <v>3113</v>
      </c>
      <c r="C11" s="32" t="s">
        <v>38</v>
      </c>
      <c r="D11" s="32" t="s">
        <v>39</v>
      </c>
      <c r="E11" s="33">
        <f t="shared" ca="1" si="0"/>
        <v>7377529.4699999997</v>
      </c>
      <c r="F11" s="34"/>
      <c r="G11" s="33">
        <f>[1]Přehled!Z8+H11</f>
        <v>7377529.4699999997</v>
      </c>
      <c r="H11" s="33">
        <v>816270.05</v>
      </c>
      <c r="I11" s="33"/>
      <c r="J11" s="33">
        <f>[1]Přehled!X8</f>
        <v>0</v>
      </c>
      <c r="K11" s="33">
        <v>151013</v>
      </c>
      <c r="L11" s="33">
        <f>K11-50000</f>
        <v>101013</v>
      </c>
      <c r="M11" s="33">
        <f t="shared" si="4"/>
        <v>8571</v>
      </c>
      <c r="N11" s="33">
        <v>159584</v>
      </c>
      <c r="O11" s="33">
        <f t="shared" si="7"/>
        <v>109584</v>
      </c>
      <c r="P11" s="33">
        <v>0</v>
      </c>
      <c r="Q11" s="33">
        <f>'[2]3113 Informatika'!C12</f>
        <v>90000</v>
      </c>
      <c r="R11" s="33">
        <f>'[2]3113 Informatika'!D12</f>
        <v>0</v>
      </c>
      <c r="S11" s="33">
        <f>'[2]3113 Informatika'!F12</f>
        <v>102850</v>
      </c>
      <c r="T11" s="33">
        <f>'[2]3113 Informatika'!G12</f>
        <v>0</v>
      </c>
      <c r="U11" s="33">
        <f>'[2]3113 Informatika'!H12</f>
        <v>0</v>
      </c>
      <c r="V11" s="33">
        <v>346971.08</v>
      </c>
      <c r="W11" s="33">
        <f t="shared" ca="1" si="1"/>
        <v>7030558.3899999997</v>
      </c>
      <c r="X11" s="33">
        <f t="shared" si="5"/>
        <v>6734</v>
      </c>
      <c r="Y11" s="33">
        <f t="shared" si="5"/>
        <v>0</v>
      </c>
      <c r="Z11" s="33">
        <f t="shared" ca="1" si="2"/>
        <v>7030558.3899999997</v>
      </c>
      <c r="AA11" s="30"/>
      <c r="AB11" s="35">
        <f t="shared" si="3"/>
        <v>56734</v>
      </c>
    </row>
    <row r="12" spans="2:29" s="2" customFormat="1" ht="15" customHeight="1" x14ac:dyDescent="0.3">
      <c r="B12" s="26">
        <v>3120</v>
      </c>
      <c r="C12" s="27" t="s">
        <v>40</v>
      </c>
      <c r="D12" s="27" t="s">
        <v>41</v>
      </c>
      <c r="E12" s="28">
        <f t="shared" ca="1" si="0"/>
        <v>1554624</v>
      </c>
      <c r="F12" s="29"/>
      <c r="G12" s="28">
        <f>[1]Přehled!Z9+H12</f>
        <v>1554624</v>
      </c>
      <c r="H12" s="28">
        <v>0</v>
      </c>
      <c r="I12" s="28"/>
      <c r="J12" s="28">
        <f>[1]Přehled!X9</f>
        <v>0</v>
      </c>
      <c r="K12" s="28">
        <v>0</v>
      </c>
      <c r="L12" s="28">
        <f t="shared" si="6"/>
        <v>0</v>
      </c>
      <c r="M12" s="28">
        <f t="shared" si="4"/>
        <v>0</v>
      </c>
      <c r="N12" s="28">
        <v>0</v>
      </c>
      <c r="O12" s="28">
        <f t="shared" si="7"/>
        <v>0</v>
      </c>
      <c r="P12" s="28">
        <v>0</v>
      </c>
      <c r="Q12" s="28">
        <f>'[2]3120'!C11</f>
        <v>0</v>
      </c>
      <c r="R12" s="28">
        <f>'[2]3120'!D11</f>
        <v>0</v>
      </c>
      <c r="S12" s="28">
        <f>'[2]3120'!F11</f>
        <v>0</v>
      </c>
      <c r="T12" s="28">
        <f>'[2]3120'!G11</f>
        <v>0</v>
      </c>
      <c r="U12" s="28">
        <f>'[2]3120'!H11</f>
        <v>0</v>
      </c>
      <c r="V12" s="28">
        <v>0</v>
      </c>
      <c r="W12" s="28">
        <f t="shared" ca="1" si="1"/>
        <v>1554624</v>
      </c>
      <c r="X12" s="28">
        <f t="shared" si="5"/>
        <v>0</v>
      </c>
      <c r="Y12" s="28">
        <f t="shared" si="5"/>
        <v>0</v>
      </c>
      <c r="Z12" s="28">
        <f t="shared" ca="1" si="2"/>
        <v>1554624</v>
      </c>
      <c r="AA12" s="30"/>
      <c r="AB12" s="31">
        <f t="shared" si="3"/>
        <v>0</v>
      </c>
    </row>
    <row r="13" spans="2:29" s="2" customFormat="1" ht="15" customHeight="1" x14ac:dyDescent="0.3">
      <c r="B13" s="26">
        <v>3122</v>
      </c>
      <c r="C13" s="32" t="s">
        <v>42</v>
      </c>
      <c r="D13" s="36" t="s">
        <v>43</v>
      </c>
      <c r="E13" s="33">
        <f ca="1">IF(F13="",G13+SUMIF($F$8:$G$60,B13,$G$8:$G$60),0)-300000-40000</f>
        <v>6156409.0800000001</v>
      </c>
      <c r="F13" s="34"/>
      <c r="G13" s="33">
        <f>[1]Přehled!Z10+H13</f>
        <v>6496409.0800000001</v>
      </c>
      <c r="H13" s="33">
        <v>7905.37</v>
      </c>
      <c r="I13" s="33"/>
      <c r="J13" s="33">
        <f>[1]Přehled!X10</f>
        <v>-115125.1</v>
      </c>
      <c r="K13" s="33">
        <v>228275</v>
      </c>
      <c r="L13" s="33">
        <f t="shared" si="6"/>
        <v>228275</v>
      </c>
      <c r="M13" s="33">
        <f t="shared" si="4"/>
        <v>11102</v>
      </c>
      <c r="N13" s="33">
        <v>239377</v>
      </c>
      <c r="O13" s="33">
        <f t="shared" si="7"/>
        <v>124251.9</v>
      </c>
      <c r="P13" s="33">
        <v>0</v>
      </c>
      <c r="Q13" s="33">
        <f>'[2]3122 Experiment. Fyzika'!C30</f>
        <v>1876300</v>
      </c>
      <c r="R13" s="33">
        <f>'[2]3122 Experiment. Fyzika'!D30</f>
        <v>254431</v>
      </c>
      <c r="S13" s="33">
        <f>'[2]3122 Experiment. Fyzika'!F30</f>
        <v>134347.97</v>
      </c>
      <c r="T13" s="33">
        <f>'[2]3122 Experiment. Fyzika'!G30</f>
        <v>0</v>
      </c>
      <c r="U13" s="33">
        <f>'[2]3122 Experiment. Fyzika'!H30</f>
        <v>709583.49</v>
      </c>
      <c r="V13" s="33">
        <v>324796.96000000002</v>
      </c>
      <c r="W13" s="33">
        <f t="shared" ca="1" si="1"/>
        <v>5831612.1200000001</v>
      </c>
      <c r="X13" s="33">
        <f t="shared" si="5"/>
        <v>-10096.070000000007</v>
      </c>
      <c r="Y13" s="33">
        <f t="shared" si="5"/>
        <v>0</v>
      </c>
      <c r="Z13" s="33">
        <f t="shared" ca="1" si="2"/>
        <v>5122028.63</v>
      </c>
      <c r="AA13" s="30"/>
      <c r="AB13" s="35">
        <f t="shared" si="3"/>
        <v>-115125.1</v>
      </c>
    </row>
    <row r="14" spans="2:29" s="2" customFormat="1" ht="15" customHeight="1" x14ac:dyDescent="0.3">
      <c r="B14" s="26">
        <v>3123</v>
      </c>
      <c r="C14" s="32" t="s">
        <v>44</v>
      </c>
      <c r="D14" s="32" t="s">
        <v>45</v>
      </c>
      <c r="E14" s="33">
        <f t="shared" ca="1" si="0"/>
        <v>9883060.2500000037</v>
      </c>
      <c r="F14" s="34"/>
      <c r="G14" s="33">
        <f>[1]Přehled!Z11+H14</f>
        <v>9883060.2500000037</v>
      </c>
      <c r="H14" s="33">
        <v>1175840.6399999999</v>
      </c>
      <c r="I14" s="33"/>
      <c r="J14" s="33">
        <f>[1]Přehled!X11</f>
        <v>-15548</v>
      </c>
      <c r="K14" s="33">
        <v>1018921</v>
      </c>
      <c r="L14" s="33">
        <f>K14+50000-938659.79</f>
        <v>130261.20999999996</v>
      </c>
      <c r="M14" s="33">
        <f t="shared" si="4"/>
        <v>7838</v>
      </c>
      <c r="N14" s="33">
        <v>1026759</v>
      </c>
      <c r="O14" s="33">
        <f>I14+J14+L14+M14</f>
        <v>122551.20999999996</v>
      </c>
      <c r="P14" s="33">
        <v>0</v>
      </c>
      <c r="Q14" s="33">
        <f>'[2]3123 Optika'!C30</f>
        <v>2290000</v>
      </c>
      <c r="R14" s="33">
        <f>'[2]3123 Optika'!D30</f>
        <v>2908212</v>
      </c>
      <c r="S14" s="37">
        <f>'[2]3123 Optika'!F30</f>
        <v>408588.61000000004</v>
      </c>
      <c r="T14" s="37">
        <f>'[2]3123 Optika'!G30</f>
        <v>0</v>
      </c>
      <c r="U14" s="37">
        <f>'[2]3123 Optika'!H30</f>
        <v>1079732.5700000003</v>
      </c>
      <c r="V14" s="33">
        <v>0</v>
      </c>
      <c r="W14" s="33">
        <f t="shared" ca="1" si="1"/>
        <v>9883060.2500000037</v>
      </c>
      <c r="X14" s="33">
        <f t="shared" si="5"/>
        <v>-286037.40000000008</v>
      </c>
      <c r="Y14" s="33">
        <f>P14-T14</f>
        <v>0</v>
      </c>
      <c r="Z14" s="33">
        <f ca="1">E14-U14-V14</f>
        <v>8803327.6800000034</v>
      </c>
      <c r="AA14" s="30"/>
      <c r="AB14" s="35">
        <f t="shared" si="3"/>
        <v>873111.79</v>
      </c>
    </row>
    <row r="15" spans="2:29" s="2" customFormat="1" ht="15" customHeight="1" x14ac:dyDescent="0.3">
      <c r="B15" s="26">
        <v>3125</v>
      </c>
      <c r="C15" s="32" t="s">
        <v>46</v>
      </c>
      <c r="D15" s="32" t="s">
        <v>47</v>
      </c>
      <c r="E15" s="33">
        <f t="shared" ca="1" si="0"/>
        <v>3887027.3600000008</v>
      </c>
      <c r="F15" s="34"/>
      <c r="G15" s="33">
        <f>[1]Přehled!Z12+H15</f>
        <v>3887027.3600000008</v>
      </c>
      <c r="H15" s="33">
        <v>318541.65000000002</v>
      </c>
      <c r="I15" s="33"/>
      <c r="J15" s="33">
        <f>[1]Přehled!X12</f>
        <v>142082</v>
      </c>
      <c r="K15" s="33">
        <v>142082</v>
      </c>
      <c r="L15" s="33">
        <f t="shared" si="6"/>
        <v>142082</v>
      </c>
      <c r="M15" s="33">
        <f t="shared" si="4"/>
        <v>0</v>
      </c>
      <c r="N15" s="33">
        <v>142082</v>
      </c>
      <c r="O15" s="33">
        <f t="shared" si="7"/>
        <v>284164</v>
      </c>
      <c r="P15" s="33">
        <v>0</v>
      </c>
      <c r="Q15" s="33">
        <f>'[2]3125 SLO'!C14</f>
        <v>0</v>
      </c>
      <c r="R15" s="33">
        <f>'[2]3125 SLO'!D14</f>
        <v>0</v>
      </c>
      <c r="S15" s="37">
        <f>'[2]3125 SLO'!F14</f>
        <v>210807.84</v>
      </c>
      <c r="T15" s="37">
        <f>'[2]3125 SLO'!G14</f>
        <v>0</v>
      </c>
      <c r="U15" s="37">
        <f>'[2]3125 SLO'!H14</f>
        <v>0</v>
      </c>
      <c r="V15" s="33">
        <v>0</v>
      </c>
      <c r="W15" s="33">
        <f t="shared" ca="1" si="1"/>
        <v>3887027.3600000008</v>
      </c>
      <c r="X15" s="33">
        <f t="shared" si="5"/>
        <v>73356.160000000003</v>
      </c>
      <c r="Y15" s="33">
        <f t="shared" si="5"/>
        <v>0</v>
      </c>
      <c r="Z15" s="33">
        <f t="shared" ca="1" si="2"/>
        <v>3887027.3600000008</v>
      </c>
      <c r="AA15" s="30"/>
      <c r="AB15" s="35">
        <f t="shared" si="3"/>
        <v>215438.16000000003</v>
      </c>
    </row>
    <row r="16" spans="2:29" s="2" customFormat="1" ht="15" customHeight="1" x14ac:dyDescent="0.3">
      <c r="B16" s="26">
        <v>3127</v>
      </c>
      <c r="C16" s="32" t="s">
        <v>48</v>
      </c>
      <c r="D16" s="36" t="s">
        <v>49</v>
      </c>
      <c r="E16" s="33">
        <f t="shared" ca="1" si="0"/>
        <v>2171401.3600000003</v>
      </c>
      <c r="F16" s="34"/>
      <c r="G16" s="33">
        <f>[1]Přehled!Z13+H16</f>
        <v>2171401.3600000003</v>
      </c>
      <c r="H16" s="33">
        <v>8229.68</v>
      </c>
      <c r="I16" s="33"/>
      <c r="J16" s="33">
        <f>[1]Přehled!X13</f>
        <v>78076.13</v>
      </c>
      <c r="K16" s="33">
        <v>42601</v>
      </c>
      <c r="L16" s="33">
        <f t="shared" si="6"/>
        <v>42601</v>
      </c>
      <c r="M16" s="33">
        <f t="shared" si="4"/>
        <v>18334</v>
      </c>
      <c r="N16" s="33">
        <v>60935</v>
      </c>
      <c r="O16" s="33">
        <f t="shared" si="7"/>
        <v>139011.13</v>
      </c>
      <c r="P16" s="33">
        <v>0</v>
      </c>
      <c r="Q16" s="33">
        <f>'[2]3127 Biofyzika'!C26</f>
        <v>500000</v>
      </c>
      <c r="R16" s="33">
        <f>'[2]3127 Biofyzika'!D26</f>
        <v>340769</v>
      </c>
      <c r="S16" s="33">
        <f>'[2]3127 Biofyzika'!F26</f>
        <v>80000</v>
      </c>
      <c r="T16" s="33">
        <f>'[2]3127 Biofyzika'!G26</f>
        <v>0</v>
      </c>
      <c r="U16" s="33">
        <f>'[2]3127 Biofyzika'!H26</f>
        <v>368813.99999999977</v>
      </c>
      <c r="V16" s="33">
        <v>200638</v>
      </c>
      <c r="W16" s="33">
        <f t="shared" ca="1" si="1"/>
        <v>1970763.3600000003</v>
      </c>
      <c r="X16" s="33">
        <f t="shared" si="5"/>
        <v>59011.130000000005</v>
      </c>
      <c r="Y16" s="33">
        <f t="shared" si="5"/>
        <v>0</v>
      </c>
      <c r="Z16" s="33">
        <f t="shared" ca="1" si="2"/>
        <v>1601949.3600000006</v>
      </c>
      <c r="AA16" s="30"/>
      <c r="AB16" s="35">
        <f t="shared" si="3"/>
        <v>137087.26</v>
      </c>
    </row>
    <row r="17" spans="2:28" s="2" customFormat="1" ht="15" customHeight="1" x14ac:dyDescent="0.3">
      <c r="B17" s="26">
        <v>3130</v>
      </c>
      <c r="C17" s="27" t="s">
        <v>50</v>
      </c>
      <c r="D17" s="27" t="s">
        <v>51</v>
      </c>
      <c r="E17" s="28">
        <f t="shared" ca="1" si="0"/>
        <v>631397.54999999993</v>
      </c>
      <c r="F17" s="29"/>
      <c r="G17" s="28">
        <f>[1]Přehled!Z14+H17</f>
        <v>631397.54999999993</v>
      </c>
      <c r="H17" s="28">
        <v>0</v>
      </c>
      <c r="I17" s="28"/>
      <c r="J17" s="28">
        <f>[1]Přehled!X14</f>
        <v>0</v>
      </c>
      <c r="K17" s="28">
        <v>0</v>
      </c>
      <c r="L17" s="28">
        <f t="shared" si="6"/>
        <v>0</v>
      </c>
      <c r="M17" s="28">
        <f t="shared" si="4"/>
        <v>0</v>
      </c>
      <c r="N17" s="28">
        <v>0</v>
      </c>
      <c r="O17" s="28">
        <f t="shared" si="7"/>
        <v>0</v>
      </c>
      <c r="P17" s="28">
        <v>0</v>
      </c>
      <c r="Q17" s="28">
        <f>'[2]3130'!C11</f>
        <v>0</v>
      </c>
      <c r="R17" s="28">
        <f>'[2]3130'!D11</f>
        <v>0</v>
      </c>
      <c r="S17" s="28">
        <f>'[2]3130'!F11</f>
        <v>0</v>
      </c>
      <c r="T17" s="28">
        <f>'[2]3130'!G11</f>
        <v>0</v>
      </c>
      <c r="U17" s="28">
        <f>'[2]3130'!H11</f>
        <v>0</v>
      </c>
      <c r="V17" s="28">
        <v>0</v>
      </c>
      <c r="W17" s="28">
        <f t="shared" ca="1" si="1"/>
        <v>631397.54999999993</v>
      </c>
      <c r="X17" s="28">
        <f t="shared" si="5"/>
        <v>0</v>
      </c>
      <c r="Y17" s="28">
        <f t="shared" si="5"/>
        <v>0</v>
      </c>
      <c r="Z17" s="28">
        <f t="shared" ca="1" si="2"/>
        <v>631397.54999999993</v>
      </c>
      <c r="AA17" s="30"/>
      <c r="AB17" s="31">
        <f t="shared" si="3"/>
        <v>0</v>
      </c>
    </row>
    <row r="18" spans="2:28" s="2" customFormat="1" ht="15" customHeight="1" x14ac:dyDescent="0.3">
      <c r="B18" s="26">
        <v>3131</v>
      </c>
      <c r="C18" s="32" t="s">
        <v>52</v>
      </c>
      <c r="D18" s="32" t="s">
        <v>53</v>
      </c>
      <c r="E18" s="33">
        <f t="shared" ca="1" si="0"/>
        <v>3893502.33</v>
      </c>
      <c r="F18" s="34"/>
      <c r="G18" s="33">
        <f>[1]Přehled!Z15+H18</f>
        <v>3893502.33</v>
      </c>
      <c r="H18" s="33">
        <v>418475.05</v>
      </c>
      <c r="I18" s="33"/>
      <c r="J18" s="37">
        <f>[1]Přehled!X15</f>
        <v>25439.600000000093</v>
      </c>
      <c r="K18" s="37">
        <v>997014.9</v>
      </c>
      <c r="L18" s="37">
        <f t="shared" si="6"/>
        <v>997014.9</v>
      </c>
      <c r="M18" s="37">
        <f t="shared" si="4"/>
        <v>0</v>
      </c>
      <c r="N18" s="37">
        <v>997014.9</v>
      </c>
      <c r="O18" s="33">
        <f t="shared" si="7"/>
        <v>1022454.5000000001</v>
      </c>
      <c r="P18" s="33">
        <v>0</v>
      </c>
      <c r="Q18" s="33">
        <f>'[2]3131 Anorganická chem.'!C12</f>
        <v>0</v>
      </c>
      <c r="R18" s="33">
        <f>'[2]3131 Anorganická chem.'!D12</f>
        <v>0</v>
      </c>
      <c r="S18" s="33">
        <f>'[2]3131 Anorganická chem.'!F12</f>
        <v>0</v>
      </c>
      <c r="T18" s="33">
        <f>'[2]3131 Anorganická chem.'!G12</f>
        <v>0</v>
      </c>
      <c r="U18" s="33">
        <f>'[2]3131 Anorganická chem.'!H12</f>
        <v>0</v>
      </c>
      <c r="V18" s="33">
        <v>7030.71</v>
      </c>
      <c r="W18" s="33">
        <f t="shared" ca="1" si="1"/>
        <v>3886471.62</v>
      </c>
      <c r="X18" s="33">
        <f t="shared" si="5"/>
        <v>1022454.5000000001</v>
      </c>
      <c r="Y18" s="33">
        <f t="shared" si="5"/>
        <v>0</v>
      </c>
      <c r="Z18" s="33">
        <f t="shared" ca="1" si="2"/>
        <v>3886471.62</v>
      </c>
      <c r="AA18" s="30"/>
      <c r="AB18" s="35">
        <f t="shared" si="3"/>
        <v>1047894.1000000002</v>
      </c>
    </row>
    <row r="19" spans="2:28" s="2" customFormat="1" ht="15" customHeight="1" x14ac:dyDescent="0.3">
      <c r="B19" s="26">
        <v>3132</v>
      </c>
      <c r="C19" s="32" t="s">
        <v>54</v>
      </c>
      <c r="D19" s="32" t="s">
        <v>55</v>
      </c>
      <c r="E19" s="33">
        <f t="shared" ca="1" si="0"/>
        <v>1242424.4700000002</v>
      </c>
      <c r="F19" s="34"/>
      <c r="G19" s="33">
        <f>[1]Přehled!Z16+H19</f>
        <v>1242424.4700000002</v>
      </c>
      <c r="H19" s="33">
        <v>565868.55000000005</v>
      </c>
      <c r="I19" s="33"/>
      <c r="J19" s="33">
        <f>[1]Přehled!X16</f>
        <v>1224389.33</v>
      </c>
      <c r="K19" s="33">
        <v>1588497</v>
      </c>
      <c r="L19" s="33">
        <f t="shared" si="6"/>
        <v>1588497</v>
      </c>
      <c r="M19" s="33">
        <f t="shared" si="4"/>
        <v>0</v>
      </c>
      <c r="N19" s="33">
        <v>1588497</v>
      </c>
      <c r="O19" s="33">
        <f t="shared" si="7"/>
        <v>2812886.33</v>
      </c>
      <c r="P19" s="33">
        <v>0</v>
      </c>
      <c r="Q19" s="33">
        <f>'[2]3132 Fyzikální chem.'!C27</f>
        <v>250000</v>
      </c>
      <c r="R19" s="33">
        <f>'[2]3132 Fyzikální chem.'!D27</f>
        <v>765765</v>
      </c>
      <c r="S19" s="33">
        <f>'[2]3132 Fyzikální chem.'!F27</f>
        <v>54208</v>
      </c>
      <c r="T19" s="33">
        <f>'[2]3132 Fyzikální chem.'!G27</f>
        <v>0</v>
      </c>
      <c r="U19" s="33">
        <f>'[2]3132 Fyzikální chem.'!H27</f>
        <v>2421.8999999999996</v>
      </c>
      <c r="V19" s="33">
        <v>0</v>
      </c>
      <c r="W19" s="33">
        <f t="shared" ca="1" si="1"/>
        <v>1242424.4700000002</v>
      </c>
      <c r="X19" s="33">
        <f t="shared" si="5"/>
        <v>2758678.33</v>
      </c>
      <c r="Y19" s="33">
        <f t="shared" si="5"/>
        <v>0</v>
      </c>
      <c r="Z19" s="33">
        <f t="shared" ca="1" si="2"/>
        <v>1240002.5700000003</v>
      </c>
      <c r="AA19" s="30"/>
      <c r="AB19" s="35">
        <f t="shared" si="3"/>
        <v>3983067.66</v>
      </c>
    </row>
    <row r="20" spans="2:28" s="2" customFormat="1" ht="15" customHeight="1" x14ac:dyDescent="0.3">
      <c r="B20" s="26">
        <v>3133</v>
      </c>
      <c r="C20" s="32" t="s">
        <v>56</v>
      </c>
      <c r="D20" s="32" t="s">
        <v>57</v>
      </c>
      <c r="E20" s="33">
        <f ca="1">IF(F20="",G20+SUMIF($F$8:$G$60,B20,$G$8:$G$60),0)+1000000</f>
        <v>5162761.82</v>
      </c>
      <c r="F20" s="34"/>
      <c r="G20" s="33">
        <f>[1]Přehled!Z17+H20</f>
        <v>4162761.82</v>
      </c>
      <c r="H20" s="33">
        <v>977973.4</v>
      </c>
      <c r="I20" s="33"/>
      <c r="J20" s="33">
        <f>[1]Přehled!X17</f>
        <v>98051.189999999988</v>
      </c>
      <c r="K20" s="33">
        <v>207945</v>
      </c>
      <c r="L20" s="33">
        <f t="shared" si="6"/>
        <v>207945</v>
      </c>
      <c r="M20" s="33">
        <f t="shared" si="4"/>
        <v>0</v>
      </c>
      <c r="N20" s="33">
        <v>207945</v>
      </c>
      <c r="O20" s="33">
        <f t="shared" si="7"/>
        <v>305996.19</v>
      </c>
      <c r="P20" s="33">
        <v>0</v>
      </c>
      <c r="Q20" s="33">
        <f>'[2]3133 Analytická chem.'!C14</f>
        <v>1122000</v>
      </c>
      <c r="R20" s="33">
        <f>'[2]3133 Analytická chem.'!D14</f>
        <v>0</v>
      </c>
      <c r="S20" s="33">
        <f>'[2]3133 Analytická chem.'!F14</f>
        <v>0</v>
      </c>
      <c r="T20" s="33">
        <f>'[2]3133 Analytická chem.'!G14</f>
        <v>0</v>
      </c>
      <c r="U20" s="33">
        <f>'[2]3133 Analytická chem.'!H14</f>
        <v>0</v>
      </c>
      <c r="V20" s="33">
        <v>0</v>
      </c>
      <c r="W20" s="33">
        <f t="shared" ca="1" si="1"/>
        <v>5162761.82</v>
      </c>
      <c r="X20" s="33">
        <f t="shared" si="5"/>
        <v>305996.19</v>
      </c>
      <c r="Y20" s="33">
        <f t="shared" si="5"/>
        <v>0</v>
      </c>
      <c r="Z20" s="33">
        <f t="shared" ca="1" si="2"/>
        <v>5162761.82</v>
      </c>
      <c r="AA20" s="30"/>
      <c r="AB20" s="35">
        <f t="shared" si="3"/>
        <v>404047.38</v>
      </c>
    </row>
    <row r="21" spans="2:28" s="2" customFormat="1" ht="15" customHeight="1" x14ac:dyDescent="0.3">
      <c r="B21" s="26">
        <v>3134</v>
      </c>
      <c r="C21" s="32" t="s">
        <v>58</v>
      </c>
      <c r="D21" s="32" t="s">
        <v>59</v>
      </c>
      <c r="E21" s="33">
        <f ca="1">IF(F21="",G21+SUMIF($F$8:$G$60,B21,$G$8:$G$60),0)-21265.05</f>
        <v>1324824.3100000003</v>
      </c>
      <c r="F21" s="34"/>
      <c r="G21" s="33">
        <f>[1]Přehled!Z18+H21</f>
        <v>1346089.3600000003</v>
      </c>
      <c r="H21" s="33">
        <v>0</v>
      </c>
      <c r="I21" s="33"/>
      <c r="J21" s="33">
        <f>[1]Přehled!X18</f>
        <v>395484.20999999996</v>
      </c>
      <c r="K21" s="33">
        <v>720118.8</v>
      </c>
      <c r="L21" s="33">
        <f t="shared" si="6"/>
        <v>720118.8</v>
      </c>
      <c r="M21" s="33">
        <f t="shared" si="4"/>
        <v>13204</v>
      </c>
      <c r="N21" s="33">
        <v>733322.8</v>
      </c>
      <c r="O21" s="33">
        <f t="shared" si="7"/>
        <v>1128807.01</v>
      </c>
      <c r="P21" s="33">
        <v>0</v>
      </c>
      <c r="Q21" s="33">
        <f>'[2]3134 Organická chem.'!C15</f>
        <v>0</v>
      </c>
      <c r="R21" s="33">
        <f>'[2]3134 Organická chem.'!D15</f>
        <v>0</v>
      </c>
      <c r="S21" s="37">
        <f>'[2]3134 Organická chem.'!F15</f>
        <v>352086.41</v>
      </c>
      <c r="T21" s="37">
        <f>'[2]3134 Organická chem.'!G15</f>
        <v>0</v>
      </c>
      <c r="U21" s="37">
        <f>'[2]3134 Organická chem.'!H15</f>
        <v>823398</v>
      </c>
      <c r="V21" s="33">
        <v>0</v>
      </c>
      <c r="W21" s="33">
        <f ca="1">E21-V21</f>
        <v>1324824.3100000003</v>
      </c>
      <c r="X21" s="33">
        <f t="shared" si="5"/>
        <v>776720.60000000009</v>
      </c>
      <c r="Y21" s="33">
        <f t="shared" si="5"/>
        <v>0</v>
      </c>
      <c r="Z21" s="33">
        <f t="shared" ca="1" si="2"/>
        <v>501426.31000000029</v>
      </c>
      <c r="AA21" s="30"/>
      <c r="AB21" s="35">
        <f t="shared" si="3"/>
        <v>1172204.81</v>
      </c>
    </row>
    <row r="22" spans="2:28" s="2" customFormat="1" ht="15" customHeight="1" x14ac:dyDescent="0.3">
      <c r="B22" s="26">
        <v>3135</v>
      </c>
      <c r="C22" s="32" t="s">
        <v>60</v>
      </c>
      <c r="D22" s="32" t="s">
        <v>61</v>
      </c>
      <c r="E22" s="33">
        <f t="shared" ref="E22:E31" ca="1" si="8">IF(F22="",G22+SUMIF($F$8:$G$60,B22,$G$8:$G$60),0)</f>
        <v>1409298.54</v>
      </c>
      <c r="F22" s="34"/>
      <c r="G22" s="33">
        <f>[1]Přehled!Z19+H22</f>
        <v>1409298.54</v>
      </c>
      <c r="H22" s="33">
        <v>602704.62</v>
      </c>
      <c r="I22" s="33"/>
      <c r="J22" s="33">
        <f>[1]Přehled!X19</f>
        <v>3118.6500000000233</v>
      </c>
      <c r="K22" s="33">
        <v>423899</v>
      </c>
      <c r="L22" s="33">
        <f t="shared" si="6"/>
        <v>423899</v>
      </c>
      <c r="M22" s="33">
        <f t="shared" si="4"/>
        <v>0</v>
      </c>
      <c r="N22" s="33">
        <v>423899</v>
      </c>
      <c r="O22" s="33">
        <f t="shared" si="7"/>
        <v>427017.65</v>
      </c>
      <c r="P22" s="33">
        <v>0</v>
      </c>
      <c r="Q22" s="33">
        <f>'[2]3135 Biochemie'!C27</f>
        <v>0</v>
      </c>
      <c r="R22" s="33">
        <f>'[2]3135 Biochemie'!D27</f>
        <v>70414.5</v>
      </c>
      <c r="S22" s="37">
        <f>'[2]3135 Biochemie'!F27</f>
        <v>0</v>
      </c>
      <c r="T22" s="37">
        <f>'[2]3135 Biochemie'!G27</f>
        <v>0</v>
      </c>
      <c r="U22" s="37">
        <f>'[2]3135 Biochemie'!H27</f>
        <v>3498.2999999999993</v>
      </c>
      <c r="V22" s="33">
        <v>0</v>
      </c>
      <c r="W22" s="33">
        <f t="shared" ca="1" si="1"/>
        <v>1409298.54</v>
      </c>
      <c r="X22" s="33">
        <f t="shared" si="5"/>
        <v>427017.65</v>
      </c>
      <c r="Y22" s="33">
        <f t="shared" si="5"/>
        <v>0</v>
      </c>
      <c r="Z22" s="33">
        <f t="shared" ca="1" si="2"/>
        <v>1405800.24</v>
      </c>
      <c r="AA22" s="30"/>
      <c r="AB22" s="35">
        <f t="shared" si="3"/>
        <v>430136.30000000005</v>
      </c>
    </row>
    <row r="23" spans="2:28" s="2" customFormat="1" ht="15" customHeight="1" x14ac:dyDescent="0.3">
      <c r="B23" s="26">
        <v>3140</v>
      </c>
      <c r="C23" s="27" t="s">
        <v>62</v>
      </c>
      <c r="D23" s="27" t="s">
        <v>63</v>
      </c>
      <c r="E23" s="28">
        <f t="shared" ca="1" si="8"/>
        <v>177000</v>
      </c>
      <c r="F23" s="29"/>
      <c r="G23" s="28">
        <f>[1]Přehled!Z20+H23</f>
        <v>177000</v>
      </c>
      <c r="H23" s="28">
        <v>0</v>
      </c>
      <c r="I23" s="28"/>
      <c r="J23" s="28">
        <f>[1]Přehled!X20</f>
        <v>0</v>
      </c>
      <c r="K23" s="28">
        <v>0</v>
      </c>
      <c r="L23" s="28">
        <f t="shared" si="6"/>
        <v>0</v>
      </c>
      <c r="M23" s="28">
        <f t="shared" si="4"/>
        <v>0</v>
      </c>
      <c r="N23" s="28">
        <v>0</v>
      </c>
      <c r="O23" s="28">
        <f t="shared" si="7"/>
        <v>0</v>
      </c>
      <c r="P23" s="28">
        <v>0</v>
      </c>
      <c r="Q23" s="28">
        <f>'[2]3140'!C11</f>
        <v>0</v>
      </c>
      <c r="R23" s="28">
        <f>'[2]3140'!D11</f>
        <v>0</v>
      </c>
      <c r="S23" s="28">
        <f>'[2]3140'!F11</f>
        <v>0</v>
      </c>
      <c r="T23" s="28">
        <f>'[2]3140'!G11</f>
        <v>0</v>
      </c>
      <c r="U23" s="28">
        <f>'[2]3140'!H11</f>
        <v>0</v>
      </c>
      <c r="V23" s="28">
        <v>0</v>
      </c>
      <c r="W23" s="28">
        <f t="shared" ca="1" si="1"/>
        <v>177000</v>
      </c>
      <c r="X23" s="28">
        <f t="shared" si="5"/>
        <v>0</v>
      </c>
      <c r="Y23" s="28">
        <f t="shared" si="5"/>
        <v>0</v>
      </c>
      <c r="Z23" s="28">
        <f t="shared" ca="1" si="2"/>
        <v>177000</v>
      </c>
      <c r="AA23" s="30"/>
      <c r="AB23" s="31">
        <f t="shared" si="3"/>
        <v>0</v>
      </c>
    </row>
    <row r="24" spans="2:28" s="2" customFormat="1" ht="15" customHeight="1" x14ac:dyDescent="0.3">
      <c r="B24" s="26">
        <v>3141</v>
      </c>
      <c r="C24" s="32" t="s">
        <v>64</v>
      </c>
      <c r="D24" s="32" t="s">
        <v>65</v>
      </c>
      <c r="E24" s="33">
        <f t="shared" ca="1" si="8"/>
        <v>1045530.6000000001</v>
      </c>
      <c r="F24" s="38"/>
      <c r="G24" s="33">
        <f>[1]Přehled!Z21+H24</f>
        <v>1045530.6000000001</v>
      </c>
      <c r="H24" s="33">
        <v>292754.06</v>
      </c>
      <c r="I24" s="33"/>
      <c r="J24" s="33">
        <f>[1]Přehled!X21</f>
        <v>25583</v>
      </c>
      <c r="K24" s="33">
        <v>289198</v>
      </c>
      <c r="L24" s="33">
        <f t="shared" si="6"/>
        <v>289198</v>
      </c>
      <c r="M24" s="33">
        <f t="shared" si="4"/>
        <v>5624</v>
      </c>
      <c r="N24" s="33">
        <v>294822</v>
      </c>
      <c r="O24" s="33">
        <f t="shared" si="7"/>
        <v>320405</v>
      </c>
      <c r="P24" s="33">
        <v>0</v>
      </c>
      <c r="Q24" s="33">
        <f>'[2]3141 Botanika'!C13</f>
        <v>370000</v>
      </c>
      <c r="R24" s="33">
        <f>'[2]3141 Botanika'!D13</f>
        <v>0</v>
      </c>
      <c r="S24" s="33">
        <f>'[2]3141 Botanika'!F13</f>
        <v>49985</v>
      </c>
      <c r="T24" s="33">
        <f>'[2]3141 Botanika'!G13</f>
        <v>0</v>
      </c>
      <c r="U24" s="33">
        <f>'[2]3141 Botanika'!H13</f>
        <v>0</v>
      </c>
      <c r="V24" s="33">
        <v>600002</v>
      </c>
      <c r="W24" s="33">
        <f t="shared" ca="1" si="1"/>
        <v>445528.60000000009</v>
      </c>
      <c r="X24" s="33">
        <f t="shared" si="5"/>
        <v>270420</v>
      </c>
      <c r="Y24" s="33">
        <f t="shared" si="5"/>
        <v>0</v>
      </c>
      <c r="Z24" s="33">
        <f t="shared" ca="1" si="2"/>
        <v>445528.60000000009</v>
      </c>
      <c r="AA24" s="30"/>
      <c r="AB24" s="35">
        <f t="shared" si="3"/>
        <v>296003</v>
      </c>
    </row>
    <row r="25" spans="2:28" s="2" customFormat="1" ht="15" customHeight="1" x14ac:dyDescent="0.3">
      <c r="B25" s="26">
        <v>3142</v>
      </c>
      <c r="C25" s="32" t="s">
        <v>66</v>
      </c>
      <c r="D25" s="32" t="s">
        <v>67</v>
      </c>
      <c r="E25" s="33">
        <f t="shared" ca="1" si="8"/>
        <v>0</v>
      </c>
      <c r="F25" s="38"/>
      <c r="G25" s="33">
        <f>[1]Přehled!Z22+H25</f>
        <v>0</v>
      </c>
      <c r="H25" s="33">
        <v>0</v>
      </c>
      <c r="I25" s="33"/>
      <c r="J25" s="33">
        <f>[1]Přehled!X22</f>
        <v>88062</v>
      </c>
      <c r="K25" s="33">
        <v>736675</v>
      </c>
      <c r="L25" s="33">
        <f>K25+240000-300000</f>
        <v>676675</v>
      </c>
      <c r="M25" s="33">
        <f t="shared" si="4"/>
        <v>54317</v>
      </c>
      <c r="N25" s="33">
        <v>790992</v>
      </c>
      <c r="O25" s="33">
        <f t="shared" si="7"/>
        <v>819054</v>
      </c>
      <c r="P25" s="33">
        <v>0</v>
      </c>
      <c r="Q25" s="33">
        <f>'[2]3142 LRR'!C15</f>
        <v>1100580.6099999999</v>
      </c>
      <c r="R25" s="33">
        <f>'[2]3142 LRR'!D15</f>
        <v>0</v>
      </c>
      <c r="S25" s="33">
        <f>'[2]3142 LRR'!F15</f>
        <v>1084038.33</v>
      </c>
      <c r="T25" s="33">
        <f>'[2]3142 LRR'!G15</f>
        <v>0</v>
      </c>
      <c r="U25" s="33">
        <f>'[2]3142 LRR'!H15</f>
        <v>0</v>
      </c>
      <c r="V25" s="33">
        <v>0</v>
      </c>
      <c r="W25" s="33">
        <f t="shared" ca="1" si="1"/>
        <v>0</v>
      </c>
      <c r="X25" s="33">
        <f t="shared" si="5"/>
        <v>-264984.33000000007</v>
      </c>
      <c r="Y25" s="33">
        <f t="shared" si="5"/>
        <v>0</v>
      </c>
      <c r="Z25" s="33">
        <f t="shared" ca="1" si="2"/>
        <v>0</v>
      </c>
      <c r="AA25" s="30"/>
      <c r="AB25" s="35">
        <f t="shared" si="3"/>
        <v>148062</v>
      </c>
    </row>
    <row r="26" spans="2:28" s="2" customFormat="1" ht="15" customHeight="1" x14ac:dyDescent="0.3">
      <c r="B26" s="26">
        <v>3143</v>
      </c>
      <c r="C26" s="32" t="s">
        <v>68</v>
      </c>
      <c r="D26" s="32" t="s">
        <v>69</v>
      </c>
      <c r="E26" s="33">
        <f t="shared" ca="1" si="8"/>
        <v>3888545.38</v>
      </c>
      <c r="F26" s="38"/>
      <c r="G26" s="33">
        <f>[1]Přehled!Z23+H26</f>
        <v>3888545.38</v>
      </c>
      <c r="H26" s="33">
        <v>329389.33</v>
      </c>
      <c r="I26" s="33"/>
      <c r="J26" s="33">
        <f>[1]Přehled!X23</f>
        <v>258797.81</v>
      </c>
      <c r="K26" s="33">
        <v>631110</v>
      </c>
      <c r="L26" s="33">
        <f t="shared" si="6"/>
        <v>631110</v>
      </c>
      <c r="M26" s="33">
        <f t="shared" si="4"/>
        <v>7225</v>
      </c>
      <c r="N26" s="33">
        <v>638335</v>
      </c>
      <c r="O26" s="33">
        <f>I26+J26+L26+M26</f>
        <v>897132.81</v>
      </c>
      <c r="P26" s="33">
        <v>0</v>
      </c>
      <c r="Q26" s="33">
        <f>'[2]3143 Zoologie'!C18</f>
        <v>60000</v>
      </c>
      <c r="R26" s="33">
        <f>'[2]3143 Zoologie'!D18</f>
        <v>0</v>
      </c>
      <c r="S26" s="37">
        <f>'[2]3143 Zoologie'!F18</f>
        <v>57799</v>
      </c>
      <c r="T26" s="37">
        <f>'[2]3143 Zoologie'!G18</f>
        <v>0</v>
      </c>
      <c r="U26" s="37">
        <f>'[2]3143 Zoologie'!H18</f>
        <v>0</v>
      </c>
      <c r="V26" s="33">
        <v>7474.79</v>
      </c>
      <c r="W26" s="33">
        <f t="shared" ca="1" si="1"/>
        <v>3881070.59</v>
      </c>
      <c r="X26" s="33">
        <f t="shared" si="5"/>
        <v>839333.81</v>
      </c>
      <c r="Y26" s="33">
        <f t="shared" si="5"/>
        <v>0</v>
      </c>
      <c r="Z26" s="33">
        <f t="shared" ca="1" si="2"/>
        <v>3881070.59</v>
      </c>
      <c r="AA26" s="30"/>
      <c r="AB26" s="35">
        <f t="shared" si="3"/>
        <v>1098131.6200000001</v>
      </c>
    </row>
    <row r="27" spans="2:28" s="2" customFormat="1" ht="15" customHeight="1" x14ac:dyDescent="0.3">
      <c r="B27" s="26">
        <v>3144</v>
      </c>
      <c r="C27" s="32" t="s">
        <v>70</v>
      </c>
      <c r="D27" s="32" t="s">
        <v>71</v>
      </c>
      <c r="E27" s="33">
        <f t="shared" ca="1" si="8"/>
        <v>116481.83999999997</v>
      </c>
      <c r="F27" s="38"/>
      <c r="G27" s="33">
        <f>[1]Přehled!Z24+H27</f>
        <v>116481.83999999997</v>
      </c>
      <c r="H27" s="33">
        <v>0</v>
      </c>
      <c r="I27" s="33"/>
      <c r="J27" s="33">
        <f>[1]Přehled!X24</f>
        <v>55698</v>
      </c>
      <c r="K27" s="33">
        <v>48556</v>
      </c>
      <c r="L27" s="33">
        <f t="shared" si="6"/>
        <v>48556</v>
      </c>
      <c r="M27" s="33">
        <f t="shared" si="4"/>
        <v>0</v>
      </c>
      <c r="N27" s="33">
        <v>48556</v>
      </c>
      <c r="O27" s="33">
        <f t="shared" si="7"/>
        <v>104254</v>
      </c>
      <c r="P27" s="33">
        <v>0</v>
      </c>
      <c r="Q27" s="33">
        <f>'[2]3144'!C11</f>
        <v>12000</v>
      </c>
      <c r="R27" s="33">
        <f>'[2]3144'!D11</f>
        <v>0</v>
      </c>
      <c r="S27" s="37">
        <f>'[2]3144'!F11</f>
        <v>0</v>
      </c>
      <c r="T27" s="37">
        <f>'[2]3144'!G11</f>
        <v>0</v>
      </c>
      <c r="U27" s="37">
        <f>'[2]3144'!H11</f>
        <v>0</v>
      </c>
      <c r="V27" s="33">
        <v>0</v>
      </c>
      <c r="W27" s="33">
        <f t="shared" ca="1" si="1"/>
        <v>116481.83999999997</v>
      </c>
      <c r="X27" s="33">
        <f t="shared" si="5"/>
        <v>104254</v>
      </c>
      <c r="Y27" s="33">
        <f t="shared" si="5"/>
        <v>0</v>
      </c>
      <c r="Z27" s="33">
        <f t="shared" ca="1" si="2"/>
        <v>116481.83999999997</v>
      </c>
      <c r="AA27" s="30"/>
      <c r="AB27" s="35">
        <f t="shared" si="3"/>
        <v>159952</v>
      </c>
    </row>
    <row r="28" spans="2:28" s="2" customFormat="1" ht="15" customHeight="1" x14ac:dyDescent="0.3">
      <c r="B28" s="26">
        <v>3145</v>
      </c>
      <c r="C28" s="32" t="s">
        <v>72</v>
      </c>
      <c r="D28" s="32" t="s">
        <v>73</v>
      </c>
      <c r="E28" s="33">
        <f t="shared" ca="1" si="8"/>
        <v>5252597.0199999986</v>
      </c>
      <c r="F28" s="38"/>
      <c r="G28" s="33">
        <f>[1]Přehled!Z25+H28</f>
        <v>5252597.0199999986</v>
      </c>
      <c r="H28" s="33">
        <v>1074504.67</v>
      </c>
      <c r="I28" s="33"/>
      <c r="J28" s="33">
        <f>[1]Přehled!X25</f>
        <v>44161.450000000157</v>
      </c>
      <c r="K28" s="33">
        <v>1832688</v>
      </c>
      <c r="L28" s="33">
        <f>K28-1300000</f>
        <v>532688</v>
      </c>
      <c r="M28" s="33">
        <f t="shared" si="4"/>
        <v>0</v>
      </c>
      <c r="N28" s="33">
        <v>1832688</v>
      </c>
      <c r="O28" s="33">
        <f t="shared" si="7"/>
        <v>576849.45000000019</v>
      </c>
      <c r="P28" s="33">
        <v>0</v>
      </c>
      <c r="Q28" s="33">
        <f>'[2]3145 Buněčná biologie'!C15</f>
        <v>300000</v>
      </c>
      <c r="R28" s="33">
        <f>'[2]3145 Buněčná biologie'!D15</f>
        <v>0</v>
      </c>
      <c r="S28" s="33">
        <f>'[2]3145 Buněčná biologie'!F15</f>
        <v>349760.43</v>
      </c>
      <c r="T28" s="33">
        <f>'[2]3145 Buněčná biologie'!G15</f>
        <v>0</v>
      </c>
      <c r="U28" s="33">
        <f>'[2]3145 Buněčná biologie'!H15</f>
        <v>0</v>
      </c>
      <c r="V28" s="33">
        <v>581855.32999999996</v>
      </c>
      <c r="W28" s="33">
        <f t="shared" ca="1" si="1"/>
        <v>4670741.6899999985</v>
      </c>
      <c r="X28" s="33">
        <f t="shared" si="5"/>
        <v>227089.02000000019</v>
      </c>
      <c r="Y28" s="33">
        <f t="shared" si="5"/>
        <v>0</v>
      </c>
      <c r="Z28" s="33">
        <f t="shared" ca="1" si="2"/>
        <v>4670741.6899999985</v>
      </c>
      <c r="AA28" s="30"/>
      <c r="AB28" s="35">
        <f t="shared" si="3"/>
        <v>1571250.4700000002</v>
      </c>
    </row>
    <row r="29" spans="2:28" s="2" customFormat="1" ht="15" customHeight="1" x14ac:dyDescent="0.3">
      <c r="B29" s="26">
        <v>3150</v>
      </c>
      <c r="C29" s="27" t="s">
        <v>74</v>
      </c>
      <c r="D29" s="27" t="s">
        <v>75</v>
      </c>
      <c r="E29" s="28">
        <f t="shared" ca="1" si="8"/>
        <v>0</v>
      </c>
      <c r="F29" s="29"/>
      <c r="G29" s="28">
        <f>[1]Přehled!Z26+H29</f>
        <v>0</v>
      </c>
      <c r="H29" s="28">
        <v>0</v>
      </c>
      <c r="I29" s="28"/>
      <c r="J29" s="28">
        <f>[1]Přehled!X26</f>
        <v>0</v>
      </c>
      <c r="K29" s="28">
        <v>0</v>
      </c>
      <c r="L29" s="28">
        <f t="shared" si="6"/>
        <v>0</v>
      </c>
      <c r="M29" s="28">
        <f t="shared" si="4"/>
        <v>0</v>
      </c>
      <c r="N29" s="28">
        <v>0</v>
      </c>
      <c r="O29" s="28">
        <f t="shared" si="7"/>
        <v>0</v>
      </c>
      <c r="P29" s="28">
        <v>0</v>
      </c>
      <c r="Q29" s="28">
        <f>'[2]3150'!C11</f>
        <v>0</v>
      </c>
      <c r="R29" s="28">
        <f>'[2]3150'!D11</f>
        <v>0</v>
      </c>
      <c r="S29" s="28">
        <f>'[2]3150'!F11</f>
        <v>0</v>
      </c>
      <c r="T29" s="28">
        <f>'[2]3150'!G11</f>
        <v>0</v>
      </c>
      <c r="U29" s="28">
        <f>'[2]3150'!H11</f>
        <v>0</v>
      </c>
      <c r="V29" s="28">
        <v>0</v>
      </c>
      <c r="W29" s="28">
        <f t="shared" ca="1" si="1"/>
        <v>0</v>
      </c>
      <c r="X29" s="28">
        <f t="shared" si="5"/>
        <v>0</v>
      </c>
      <c r="Y29" s="28">
        <f t="shared" si="5"/>
        <v>0</v>
      </c>
      <c r="Z29" s="28">
        <f t="shared" ca="1" si="2"/>
        <v>0</v>
      </c>
      <c r="AA29" s="30"/>
      <c r="AB29" s="31">
        <f t="shared" si="3"/>
        <v>0</v>
      </c>
    </row>
    <row r="30" spans="2:28" s="2" customFormat="1" ht="15" customHeight="1" x14ac:dyDescent="0.3">
      <c r="B30" s="26">
        <v>3151</v>
      </c>
      <c r="C30" s="32" t="s">
        <v>76</v>
      </c>
      <c r="D30" s="32" t="s">
        <v>77</v>
      </c>
      <c r="E30" s="33">
        <f t="shared" ca="1" si="8"/>
        <v>1571489.4299999997</v>
      </c>
      <c r="F30" s="34"/>
      <c r="G30" s="33">
        <f>[1]Přehled!Z27+H30</f>
        <v>1571489.4299999997</v>
      </c>
      <c r="H30" s="33">
        <v>34692.71</v>
      </c>
      <c r="I30" s="33"/>
      <c r="J30" s="33">
        <f>[1]Přehled!X27</f>
        <v>69466</v>
      </c>
      <c r="K30" s="33">
        <v>34735</v>
      </c>
      <c r="L30" s="33">
        <f t="shared" si="6"/>
        <v>34735</v>
      </c>
      <c r="M30" s="33">
        <f t="shared" si="4"/>
        <v>0</v>
      </c>
      <c r="N30" s="33">
        <v>34735</v>
      </c>
      <c r="O30" s="33">
        <f t="shared" si="7"/>
        <v>104201</v>
      </c>
      <c r="P30" s="33">
        <v>0</v>
      </c>
      <c r="Q30" s="33">
        <f>'[2]3151 Geografie'!C15</f>
        <v>0</v>
      </c>
      <c r="R30" s="33">
        <f>'[2]3151 Geografie'!D15</f>
        <v>0</v>
      </c>
      <c r="S30" s="33">
        <f>'[2]3151 Geografie'!F15</f>
        <v>0</v>
      </c>
      <c r="T30" s="33">
        <f>'[2]3151 Geografie'!G15</f>
        <v>0</v>
      </c>
      <c r="U30" s="33">
        <f>'[2]3151 Geografie'!H15</f>
        <v>760060</v>
      </c>
      <c r="V30" s="33">
        <v>164395.82999999999</v>
      </c>
      <c r="W30" s="33">
        <f t="shared" ca="1" si="1"/>
        <v>1407093.5999999996</v>
      </c>
      <c r="X30" s="33">
        <f t="shared" si="5"/>
        <v>104201</v>
      </c>
      <c r="Y30" s="33">
        <f t="shared" si="5"/>
        <v>0</v>
      </c>
      <c r="Z30" s="33">
        <f t="shared" ca="1" si="2"/>
        <v>647033.59999999974</v>
      </c>
      <c r="AA30" s="30"/>
      <c r="AB30" s="35">
        <f t="shared" si="3"/>
        <v>173667</v>
      </c>
    </row>
    <row r="31" spans="2:28" s="2" customFormat="1" ht="15" customHeight="1" x14ac:dyDescent="0.3">
      <c r="B31" s="26">
        <v>3152</v>
      </c>
      <c r="C31" s="32" t="s">
        <v>78</v>
      </c>
      <c r="D31" s="32" t="s">
        <v>79</v>
      </c>
      <c r="E31" s="33">
        <f t="shared" ca="1" si="8"/>
        <v>2108303.6100000003</v>
      </c>
      <c r="F31" s="34"/>
      <c r="G31" s="33">
        <f>[1]Přehled!Z28+H31</f>
        <v>2108303.6100000003</v>
      </c>
      <c r="H31" s="33">
        <v>5269.59</v>
      </c>
      <c r="I31" s="33"/>
      <c r="J31" s="33">
        <f>[1]Přehled!X28</f>
        <v>4357.4699999999721</v>
      </c>
      <c r="K31" s="33">
        <v>379072</v>
      </c>
      <c r="L31" s="33">
        <f>K31-383429.47</f>
        <v>-4357.4699999999721</v>
      </c>
      <c r="M31" s="33">
        <f t="shared" si="4"/>
        <v>0</v>
      </c>
      <c r="N31" s="33">
        <v>379072</v>
      </c>
      <c r="O31" s="33">
        <f t="shared" si="7"/>
        <v>0</v>
      </c>
      <c r="P31" s="33">
        <v>0</v>
      </c>
      <c r="Q31" s="33">
        <f>'[2]3152 Geologie'!C13</f>
        <v>150000</v>
      </c>
      <c r="R31" s="33">
        <f>'[2]3152 Geologie'!D13</f>
        <v>0</v>
      </c>
      <c r="S31" s="37">
        <f>'[2]3152 Geologie'!F13</f>
        <v>0</v>
      </c>
      <c r="T31" s="37">
        <f>'[2]3152 Geologie'!G13</f>
        <v>0</v>
      </c>
      <c r="U31" s="37">
        <f>'[2]3152 Geologie'!H13</f>
        <v>0</v>
      </c>
      <c r="V31" s="33">
        <v>17969</v>
      </c>
      <c r="W31" s="33">
        <f t="shared" ca="1" si="1"/>
        <v>2090334.6100000003</v>
      </c>
      <c r="X31" s="33">
        <f t="shared" si="5"/>
        <v>0</v>
      </c>
      <c r="Y31" s="33">
        <f t="shared" si="5"/>
        <v>0</v>
      </c>
      <c r="Z31" s="33">
        <f t="shared" ca="1" si="2"/>
        <v>2090334.6100000003</v>
      </c>
      <c r="AA31" s="30"/>
      <c r="AB31" s="35">
        <f t="shared" si="3"/>
        <v>387786.93999999994</v>
      </c>
    </row>
    <row r="32" spans="2:28" s="2" customFormat="1" ht="15" customHeight="1" x14ac:dyDescent="0.3">
      <c r="B32" s="26">
        <v>3153</v>
      </c>
      <c r="C32" s="32" t="s">
        <v>80</v>
      </c>
      <c r="D32" s="32" t="s">
        <v>81</v>
      </c>
      <c r="E32" s="33">
        <f ca="1">IF(F32="",G32+SUMIF($F$8:$G$60,B32,$G$8:$G$60),0)-1500000-1000000-376200</f>
        <v>1932775.5700000003</v>
      </c>
      <c r="F32" s="34"/>
      <c r="G32" s="33">
        <f>[1]Přehled!Z29+H32</f>
        <v>4808975.57</v>
      </c>
      <c r="H32" s="33">
        <v>373.62</v>
      </c>
      <c r="I32" s="33"/>
      <c r="J32" s="33">
        <f>[1]Přehled!X29</f>
        <v>0</v>
      </c>
      <c r="K32" s="33">
        <v>17676</v>
      </c>
      <c r="L32" s="33">
        <f t="shared" si="6"/>
        <v>17676</v>
      </c>
      <c r="M32" s="33">
        <f t="shared" si="4"/>
        <v>0</v>
      </c>
      <c r="N32" s="33">
        <v>17676</v>
      </c>
      <c r="O32" s="33">
        <f t="shared" si="7"/>
        <v>17676</v>
      </c>
      <c r="P32" s="33">
        <v>0</v>
      </c>
      <c r="Q32" s="33">
        <f>'[2]3153 Geoinformatika'!C12</f>
        <v>0</v>
      </c>
      <c r="R32" s="33">
        <f>'[2]3153 Geoinformatika'!D12</f>
        <v>0</v>
      </c>
      <c r="S32" s="33">
        <f>'[2]3153 Geoinformatika'!F12</f>
        <v>0</v>
      </c>
      <c r="T32" s="33">
        <f>'[2]3153 Geoinformatika'!G12</f>
        <v>0</v>
      </c>
      <c r="U32" s="33">
        <f>'[2]3153 Geoinformatika'!H12</f>
        <v>0</v>
      </c>
      <c r="V32" s="33">
        <v>848841.33</v>
      </c>
      <c r="W32" s="33">
        <f t="shared" ca="1" si="1"/>
        <v>1083934.2400000002</v>
      </c>
      <c r="X32" s="33">
        <f t="shared" si="5"/>
        <v>17676</v>
      </c>
      <c r="Y32" s="33">
        <f t="shared" si="5"/>
        <v>0</v>
      </c>
      <c r="Z32" s="33">
        <f t="shared" ca="1" si="2"/>
        <v>1083934.2400000002</v>
      </c>
      <c r="AA32" s="39"/>
      <c r="AB32" s="35">
        <f t="shared" si="3"/>
        <v>17676</v>
      </c>
    </row>
    <row r="33" spans="2:28" s="2" customFormat="1" ht="15" customHeight="1" x14ac:dyDescent="0.3">
      <c r="B33" s="26">
        <v>3154</v>
      </c>
      <c r="C33" s="32" t="s">
        <v>82</v>
      </c>
      <c r="D33" s="32" t="s">
        <v>83</v>
      </c>
      <c r="E33" s="33">
        <f ca="1">IF(F33="",G33+SUMIF($F$8:$G$60,B33,$G$8:$G$60),0)-46042.13</f>
        <v>408707.67</v>
      </c>
      <c r="F33" s="34"/>
      <c r="G33" s="33">
        <f>[1]Přehled!Z30+H33</f>
        <v>454749.8</v>
      </c>
      <c r="H33" s="33">
        <v>0</v>
      </c>
      <c r="I33" s="33"/>
      <c r="J33" s="33">
        <f>[1]Přehled!X30</f>
        <v>0</v>
      </c>
      <c r="K33" s="33">
        <v>0</v>
      </c>
      <c r="L33" s="33">
        <f t="shared" si="6"/>
        <v>0</v>
      </c>
      <c r="M33" s="33">
        <f t="shared" si="4"/>
        <v>0</v>
      </c>
      <c r="N33" s="33">
        <v>0</v>
      </c>
      <c r="O33" s="33">
        <f t="shared" si="7"/>
        <v>0</v>
      </c>
      <c r="P33" s="33">
        <v>0</v>
      </c>
      <c r="Q33" s="33">
        <f>'[2]3154 Rozvojová studia'!C13</f>
        <v>0</v>
      </c>
      <c r="R33" s="33">
        <f>'[2]3154 Rozvojová studia'!D13</f>
        <v>0</v>
      </c>
      <c r="S33" s="33">
        <f>'[2]3154 Rozvojová studia'!F13</f>
        <v>0</v>
      </c>
      <c r="T33" s="33">
        <f>'[2]3154 Rozvojová studia'!G13</f>
        <v>0</v>
      </c>
      <c r="U33" s="33">
        <f>'[2]3154 Rozvojová studia'!H13</f>
        <v>316692</v>
      </c>
      <c r="V33" s="33">
        <v>0</v>
      </c>
      <c r="W33" s="33">
        <f t="shared" ca="1" si="1"/>
        <v>408707.67</v>
      </c>
      <c r="X33" s="33">
        <f t="shared" si="5"/>
        <v>0</v>
      </c>
      <c r="Y33" s="33">
        <f t="shared" si="5"/>
        <v>0</v>
      </c>
      <c r="Z33" s="33">
        <f t="shared" ca="1" si="2"/>
        <v>92015.669999999984</v>
      </c>
      <c r="AA33" s="39"/>
      <c r="AB33" s="35">
        <f t="shared" si="3"/>
        <v>0</v>
      </c>
    </row>
    <row r="34" spans="2:28" s="2" customFormat="1" ht="15" customHeight="1" x14ac:dyDescent="0.3">
      <c r="B34" s="26">
        <v>3137</v>
      </c>
      <c r="C34" s="40" t="s">
        <v>84</v>
      </c>
      <c r="D34" s="40" t="s">
        <v>85</v>
      </c>
      <c r="E34" s="28">
        <f t="shared" ref="E34:E42" ca="1" si="9">IF(F34="",G34+SUMIF($F$8:$G$60,B34,$G$8:$G$60),0)</f>
        <v>256891.2900000001</v>
      </c>
      <c r="F34" s="29"/>
      <c r="G34" s="28">
        <f>[1]Přehled!Z31+H34</f>
        <v>256891.2900000001</v>
      </c>
      <c r="H34" s="28">
        <v>0</v>
      </c>
      <c r="I34" s="28"/>
      <c r="J34" s="28">
        <f>[1]Přehled!X31</f>
        <v>579339</v>
      </c>
      <c r="K34" s="28">
        <v>0</v>
      </c>
      <c r="L34" s="28">
        <f t="shared" si="6"/>
        <v>0</v>
      </c>
      <c r="M34" s="28">
        <f t="shared" si="4"/>
        <v>22917</v>
      </c>
      <c r="N34" s="28">
        <v>22917</v>
      </c>
      <c r="O34" s="28">
        <f t="shared" si="7"/>
        <v>602256</v>
      </c>
      <c r="P34" s="28">
        <v>0</v>
      </c>
      <c r="Q34" s="28">
        <f>'[2]3137 CRH'!C11</f>
        <v>462220</v>
      </c>
      <c r="R34" s="28">
        <f>'[2]3137 CRH'!D11</f>
        <v>19950</v>
      </c>
      <c r="S34" s="28">
        <f>'[2]3137 CRH'!F11</f>
        <v>462220</v>
      </c>
      <c r="T34" s="28">
        <f>'[2]3137 CRH'!G11</f>
        <v>0</v>
      </c>
      <c r="U34" s="28">
        <f>'[2]3137 CRH'!H11</f>
        <v>0</v>
      </c>
      <c r="V34" s="28">
        <v>0</v>
      </c>
      <c r="W34" s="28">
        <f t="shared" ca="1" si="1"/>
        <v>256891.2900000001</v>
      </c>
      <c r="X34" s="28">
        <f t="shared" si="5"/>
        <v>140036</v>
      </c>
      <c r="Y34" s="28">
        <f t="shared" si="5"/>
        <v>0</v>
      </c>
      <c r="Z34" s="28">
        <f t="shared" ca="1" si="2"/>
        <v>256891.2900000001</v>
      </c>
      <c r="AA34" s="39"/>
      <c r="AB34" s="31">
        <f t="shared" si="3"/>
        <v>719375</v>
      </c>
    </row>
    <row r="35" spans="2:28" s="2" customFormat="1" ht="15" customHeight="1" x14ac:dyDescent="0.3">
      <c r="B35" s="26">
        <v>3701</v>
      </c>
      <c r="C35" s="32" t="s">
        <v>86</v>
      </c>
      <c r="D35" s="32" t="s">
        <v>87</v>
      </c>
      <c r="E35" s="41">
        <f t="shared" ca="1" si="9"/>
        <v>242666.33999999991</v>
      </c>
      <c r="F35" s="42"/>
      <c r="G35" s="41">
        <f>[1]Přehled!Z32+H35</f>
        <v>242666.33999999991</v>
      </c>
      <c r="H35" s="41">
        <v>222777.82</v>
      </c>
      <c r="I35" s="41"/>
      <c r="J35" s="41">
        <f>[1]Přehled!X32</f>
        <v>7890</v>
      </c>
      <c r="K35" s="41">
        <v>189689</v>
      </c>
      <c r="L35" s="41">
        <f t="shared" si="6"/>
        <v>189689</v>
      </c>
      <c r="M35" s="41">
        <f t="shared" si="4"/>
        <v>38282</v>
      </c>
      <c r="N35" s="41">
        <v>227971</v>
      </c>
      <c r="O35" s="33">
        <f t="shared" si="7"/>
        <v>235861</v>
      </c>
      <c r="P35" s="41">
        <v>0</v>
      </c>
      <c r="Q35" s="37">
        <f>'[2]3701 CRH Biochem a proteiny'!C14</f>
        <v>250000</v>
      </c>
      <c r="R35" s="37">
        <f>'[2]3701 CRH Biochem a proteiny'!D14</f>
        <v>0</v>
      </c>
      <c r="S35" s="37">
        <f>'[2]3701 CRH Biochem a proteiny'!F14</f>
        <v>199955.83</v>
      </c>
      <c r="T35" s="37">
        <f>'[2]3701 CRH Biochem a proteiny'!G14</f>
        <v>0</v>
      </c>
      <c r="U35" s="37">
        <f>'[2]3701 CRH Biochem a proteiny'!H14</f>
        <v>75857.87</v>
      </c>
      <c r="V35" s="41">
        <v>0</v>
      </c>
      <c r="W35" s="41">
        <f t="shared" ca="1" si="1"/>
        <v>242666.33999999991</v>
      </c>
      <c r="X35" s="41">
        <f t="shared" si="5"/>
        <v>35905.170000000013</v>
      </c>
      <c r="Y35" s="41">
        <f t="shared" si="5"/>
        <v>0</v>
      </c>
      <c r="Z35" s="41">
        <f t="shared" ca="1" si="2"/>
        <v>166808.46999999991</v>
      </c>
      <c r="AA35" s="39"/>
      <c r="AB35" s="43">
        <f t="shared" si="3"/>
        <v>43795.170000000013</v>
      </c>
    </row>
    <row r="36" spans="2:28" s="2" customFormat="1" ht="15" customHeight="1" x14ac:dyDescent="0.3">
      <c r="B36" s="26">
        <v>3702</v>
      </c>
      <c r="C36" s="32" t="s">
        <v>88</v>
      </c>
      <c r="D36" s="32" t="s">
        <v>89</v>
      </c>
      <c r="E36" s="33">
        <f t="shared" ca="1" si="9"/>
        <v>2075705.9299999995</v>
      </c>
      <c r="F36" s="34"/>
      <c r="G36" s="33">
        <f>[1]Přehled!Z33+H36</f>
        <v>2075705.9299999995</v>
      </c>
      <c r="H36" s="33">
        <v>1807.74</v>
      </c>
      <c r="I36" s="33"/>
      <c r="J36" s="33">
        <f>[1]Přehled!X33</f>
        <v>1844.2599999998929</v>
      </c>
      <c r="K36" s="33">
        <v>1057816</v>
      </c>
      <c r="L36" s="33">
        <f>K36-992962.03</f>
        <v>64853.969999999972</v>
      </c>
      <c r="M36" s="33">
        <f t="shared" si="4"/>
        <v>19185</v>
      </c>
      <c r="N36" s="33">
        <v>1077001</v>
      </c>
      <c r="O36" s="33">
        <f t="shared" si="7"/>
        <v>85883.229999999865</v>
      </c>
      <c r="P36" s="33">
        <v>0</v>
      </c>
      <c r="Q36" s="33">
        <f>'[2]3702 CRH Bioenergetika'!C16</f>
        <v>55285</v>
      </c>
      <c r="R36" s="33">
        <f>'[2]3702 CRH Bioenergetika'!D16</f>
        <v>0</v>
      </c>
      <c r="S36" s="37">
        <f>'[2]3702 CRH Bioenergetika'!F16</f>
        <v>-933301.76000000001</v>
      </c>
      <c r="T36" s="37">
        <f>'[2]3702 CRH Bioenergetika'!G16</f>
        <v>0</v>
      </c>
      <c r="U36" s="37">
        <f>'[2]3702 CRH Bioenergetika'!H16</f>
        <v>52598.42</v>
      </c>
      <c r="V36" s="33">
        <v>265442.45</v>
      </c>
      <c r="W36" s="33">
        <f t="shared" ca="1" si="1"/>
        <v>1810263.4799999995</v>
      </c>
      <c r="X36" s="33">
        <f t="shared" si="5"/>
        <v>1019184.9899999999</v>
      </c>
      <c r="Y36" s="33">
        <f t="shared" si="5"/>
        <v>0</v>
      </c>
      <c r="Z36" s="33">
        <f t="shared" ca="1" si="2"/>
        <v>1757665.0599999996</v>
      </c>
      <c r="AA36" s="39"/>
      <c r="AB36" s="35">
        <f t="shared" si="3"/>
        <v>2013991.2799999996</v>
      </c>
    </row>
    <row r="37" spans="2:28" s="2" customFormat="1" ht="15" customHeight="1" x14ac:dyDescent="0.3">
      <c r="B37" s="26">
        <v>3703</v>
      </c>
      <c r="C37" s="32" t="s">
        <v>90</v>
      </c>
      <c r="D37" s="32" t="s">
        <v>91</v>
      </c>
      <c r="E37" s="33">
        <f t="shared" ca="1" si="9"/>
        <v>64783.900000000023</v>
      </c>
      <c r="F37" s="34"/>
      <c r="G37" s="33">
        <f>[1]Přehled!Z34+H37</f>
        <v>64783.900000000023</v>
      </c>
      <c r="H37" s="33">
        <v>0</v>
      </c>
      <c r="I37" s="33"/>
      <c r="J37" s="33">
        <f>[1]Přehled!X34</f>
        <v>-141439.14000000013</v>
      </c>
      <c r="K37" s="33">
        <v>834895</v>
      </c>
      <c r="L37" s="33">
        <f>K37-313803.52-240000</f>
        <v>281091.48</v>
      </c>
      <c r="M37" s="33">
        <f t="shared" si="4"/>
        <v>32936</v>
      </c>
      <c r="N37" s="33">
        <v>867831</v>
      </c>
      <c r="O37" s="33">
        <f t="shared" si="7"/>
        <v>172588.33999999985</v>
      </c>
      <c r="P37" s="33">
        <v>0</v>
      </c>
      <c r="Q37" s="33">
        <f>'[2]3703 CRH Biologie'!C18</f>
        <v>0</v>
      </c>
      <c r="R37" s="33">
        <f>'[2]3703 CRH Biologie'!D18</f>
        <v>0</v>
      </c>
      <c r="S37" s="33">
        <f>'[2]3703 CRH Biologie'!F18</f>
        <v>260440.84</v>
      </c>
      <c r="T37" s="33">
        <f>'[2]3703 CRH Biologie'!G18</f>
        <v>0</v>
      </c>
      <c r="U37" s="33">
        <f>'[2]3703 CRH Biologie'!H18</f>
        <v>0</v>
      </c>
      <c r="V37" s="33">
        <v>0</v>
      </c>
      <c r="W37" s="33">
        <f t="shared" ca="1" si="1"/>
        <v>64783.900000000023</v>
      </c>
      <c r="X37" s="33">
        <f t="shared" si="5"/>
        <v>-87852.500000000146</v>
      </c>
      <c r="Y37" s="33">
        <f t="shared" si="5"/>
        <v>0</v>
      </c>
      <c r="Z37" s="33">
        <f t="shared" ca="1" si="2"/>
        <v>64783.900000000023</v>
      </c>
      <c r="AA37" s="39"/>
      <c r="AB37" s="35">
        <f t="shared" si="3"/>
        <v>412364.37999999989</v>
      </c>
    </row>
    <row r="38" spans="2:28" s="2" customFormat="1" ht="15" customHeight="1" x14ac:dyDescent="0.3">
      <c r="B38" s="26">
        <v>3704</v>
      </c>
      <c r="C38" s="32" t="s">
        <v>92</v>
      </c>
      <c r="D38" s="32" t="s">
        <v>93</v>
      </c>
      <c r="E38" s="33">
        <f t="shared" ca="1" si="9"/>
        <v>2248269.37</v>
      </c>
      <c r="F38" s="34"/>
      <c r="G38" s="33">
        <f>[1]Přehled!Z35+H38</f>
        <v>2248269.37</v>
      </c>
      <c r="H38" s="33">
        <v>1356861.66</v>
      </c>
      <c r="I38" s="33"/>
      <c r="J38" s="33">
        <f>[1]Přehled!X35</f>
        <v>460870.45</v>
      </c>
      <c r="K38" s="33">
        <v>490540</v>
      </c>
      <c r="L38" s="33">
        <f t="shared" si="6"/>
        <v>490540</v>
      </c>
      <c r="M38" s="33">
        <f t="shared" si="4"/>
        <v>1943</v>
      </c>
      <c r="N38" s="33">
        <v>492483</v>
      </c>
      <c r="O38" s="33">
        <f t="shared" si="7"/>
        <v>953353.45</v>
      </c>
      <c r="P38" s="33">
        <v>0</v>
      </c>
      <c r="Q38" s="33">
        <f>'[2]3704 CRH rostl. biotechnolog'!C12</f>
        <v>0</v>
      </c>
      <c r="R38" s="33">
        <f>'[2]3704 CRH rostl. biotechnolog'!D12</f>
        <v>0</v>
      </c>
      <c r="S38" s="33">
        <f>'[2]3704 CRH rostl. biotechnolog'!F12</f>
        <v>46589.35</v>
      </c>
      <c r="T38" s="33">
        <f>'[2]3704 CRH rostl. biotechnolog'!G12</f>
        <v>0</v>
      </c>
      <c r="U38" s="33">
        <f>'[2]3704 CRH rostl. biotechnolog'!H12</f>
        <v>0</v>
      </c>
      <c r="V38" s="33">
        <v>0</v>
      </c>
      <c r="W38" s="33">
        <f t="shared" ca="1" si="1"/>
        <v>2248269.37</v>
      </c>
      <c r="X38" s="33">
        <f t="shared" si="5"/>
        <v>906764.1</v>
      </c>
      <c r="Y38" s="33">
        <f t="shared" si="5"/>
        <v>0</v>
      </c>
      <c r="Z38" s="33">
        <f t="shared" ca="1" si="2"/>
        <v>2248269.37</v>
      </c>
      <c r="AA38" s="39"/>
      <c r="AB38" s="35">
        <f t="shared" si="3"/>
        <v>1367634.5499999998</v>
      </c>
    </row>
    <row r="39" spans="2:28" s="2" customFormat="1" ht="15" customHeight="1" x14ac:dyDescent="0.3">
      <c r="B39" s="26">
        <v>3705</v>
      </c>
      <c r="C39" s="32" t="s">
        <v>94</v>
      </c>
      <c r="D39" s="32" t="s">
        <v>95</v>
      </c>
      <c r="E39" s="33">
        <f t="shared" ca="1" si="9"/>
        <v>1346550.71</v>
      </c>
      <c r="F39" s="34"/>
      <c r="G39" s="33">
        <f>[1]Přehled!Z36+H39</f>
        <v>1346550.71</v>
      </c>
      <c r="H39" s="33">
        <v>1346550.71</v>
      </c>
      <c r="I39" s="33"/>
      <c r="J39" s="33">
        <f>[1]Přehled!X36</f>
        <v>114162.00000000047</v>
      </c>
      <c r="K39" s="33">
        <v>1440333</v>
      </c>
      <c r="L39" s="33">
        <f>K39+992962.03-1859892.82</f>
        <v>573402.2100000002</v>
      </c>
      <c r="M39" s="33">
        <f t="shared" si="4"/>
        <v>15470</v>
      </c>
      <c r="N39" s="33">
        <v>1455803</v>
      </c>
      <c r="O39" s="33">
        <f t="shared" si="7"/>
        <v>703034.21000000066</v>
      </c>
      <c r="P39" s="33">
        <v>4859892.82</v>
      </c>
      <c r="Q39" s="33">
        <f>'[2]3705 CRH Buněčná biologie'!C15</f>
        <v>5525000</v>
      </c>
      <c r="R39" s="33">
        <f>'[2]3705 CRH Buněčná biologie'!D15</f>
        <v>3000000</v>
      </c>
      <c r="S39" s="33">
        <f>'[2]3705 CRH Buněčná biologie'!F15</f>
        <v>247508</v>
      </c>
      <c r="T39" s="33">
        <f>'[2]3705 CRH Buněčná biologie'!G15</f>
        <v>4859892.82</v>
      </c>
      <c r="U39" s="33">
        <f>'[2]3705 CRH Buněčná biologie'!H15</f>
        <v>418602.2</v>
      </c>
      <c r="V39" s="33">
        <v>0</v>
      </c>
      <c r="W39" s="33">
        <f t="shared" ca="1" si="1"/>
        <v>1346550.71</v>
      </c>
      <c r="X39" s="33">
        <f t="shared" si="5"/>
        <v>455526.21000000066</v>
      </c>
      <c r="Y39" s="33">
        <f t="shared" si="5"/>
        <v>0</v>
      </c>
      <c r="Z39" s="33">
        <f t="shared" ca="1" si="2"/>
        <v>927948.51</v>
      </c>
      <c r="AA39" s="39"/>
      <c r="AB39" s="35">
        <f t="shared" si="3"/>
        <v>1436619.0000000009</v>
      </c>
    </row>
    <row r="40" spans="2:28" s="2" customFormat="1" ht="15" customHeight="1" x14ac:dyDescent="0.3">
      <c r="B40" s="26">
        <v>3706</v>
      </c>
      <c r="C40" s="32" t="s">
        <v>96</v>
      </c>
      <c r="D40" s="32" t="s">
        <v>97</v>
      </c>
      <c r="E40" s="33">
        <f t="shared" ca="1" si="9"/>
        <v>61390.540000000008</v>
      </c>
      <c r="F40" s="34"/>
      <c r="G40" s="33">
        <f>[1]Přehled!Z37+H40</f>
        <v>61390.540000000008</v>
      </c>
      <c r="H40" s="33">
        <v>10551.34</v>
      </c>
      <c r="I40" s="33"/>
      <c r="J40" s="33">
        <f>[1]Přehled!X37</f>
        <v>9738.9900000000052</v>
      </c>
      <c r="K40" s="33">
        <v>59015</v>
      </c>
      <c r="L40" s="33">
        <f t="shared" si="6"/>
        <v>59015</v>
      </c>
      <c r="M40" s="33">
        <f t="shared" si="4"/>
        <v>0</v>
      </c>
      <c r="N40" s="33">
        <v>59015</v>
      </c>
      <c r="O40" s="33">
        <f t="shared" si="7"/>
        <v>68753.990000000005</v>
      </c>
      <c r="P40" s="33">
        <v>0</v>
      </c>
      <c r="Q40" s="33">
        <f>'[2]3706 CRH_'!C12</f>
        <v>0</v>
      </c>
      <c r="R40" s="33">
        <f>'[2]3706 CRH_'!D12</f>
        <v>0</v>
      </c>
      <c r="S40" s="33">
        <f>'[2]3706 CRH_'!F12</f>
        <v>0</v>
      </c>
      <c r="T40" s="33">
        <f>'[2]3706 CRH_'!G12</f>
        <v>0</v>
      </c>
      <c r="U40" s="33">
        <f>'[2]3706 CRH_'!H12</f>
        <v>0</v>
      </c>
      <c r="V40" s="33">
        <v>0</v>
      </c>
      <c r="W40" s="33">
        <f t="shared" ca="1" si="1"/>
        <v>61390.540000000008</v>
      </c>
      <c r="X40" s="33">
        <f t="shared" si="5"/>
        <v>68753.990000000005</v>
      </c>
      <c r="Y40" s="33">
        <f t="shared" si="5"/>
        <v>0</v>
      </c>
      <c r="Z40" s="33">
        <f t="shared" ca="1" si="2"/>
        <v>61390.540000000008</v>
      </c>
      <c r="AA40" s="39"/>
      <c r="AB40" s="35">
        <f t="shared" si="3"/>
        <v>78492.98000000001</v>
      </c>
    </row>
    <row r="41" spans="2:28" s="2" customFormat="1" ht="15.75" hidden="1" x14ac:dyDescent="0.25">
      <c r="B41" s="26">
        <v>3707</v>
      </c>
      <c r="C41" s="44" t="s">
        <v>98</v>
      </c>
      <c r="D41" s="32"/>
      <c r="E41" s="33">
        <f t="shared" ca="1" si="9"/>
        <v>0</v>
      </c>
      <c r="F41" s="34"/>
      <c r="G41" s="33">
        <f>[1]Přehled!Z38+H41</f>
        <v>0</v>
      </c>
      <c r="H41" s="33">
        <v>0</v>
      </c>
      <c r="I41" s="33"/>
      <c r="J41" s="33">
        <f>[1]Přehled!X38</f>
        <v>0</v>
      </c>
      <c r="K41" s="33">
        <v>0</v>
      </c>
      <c r="L41" s="33">
        <f t="shared" si="6"/>
        <v>0</v>
      </c>
      <c r="M41" s="33">
        <f t="shared" si="4"/>
        <v>0</v>
      </c>
      <c r="N41" s="33">
        <v>0</v>
      </c>
      <c r="O41" s="33">
        <f t="shared" si="7"/>
        <v>0</v>
      </c>
      <c r="P41" s="33">
        <v>0</v>
      </c>
      <c r="Q41" s="33">
        <f>'[2]3707 rezerva'!C12</f>
        <v>0</v>
      </c>
      <c r="R41" s="33">
        <f>'[2]3707 rezerva'!D12</f>
        <v>0</v>
      </c>
      <c r="S41" s="33">
        <f>'[2]3707 rezerva'!F12</f>
        <v>0</v>
      </c>
      <c r="T41" s="33">
        <f>'[2]3707 rezerva'!G12</f>
        <v>0</v>
      </c>
      <c r="U41" s="33">
        <f>'[2]3707 rezerva'!H12</f>
        <v>0</v>
      </c>
      <c r="V41" s="33">
        <v>0</v>
      </c>
      <c r="W41" s="33">
        <f t="shared" ca="1" si="1"/>
        <v>0</v>
      </c>
      <c r="X41" s="33">
        <f t="shared" si="5"/>
        <v>0</v>
      </c>
      <c r="Y41" s="33">
        <f t="shared" si="5"/>
        <v>0</v>
      </c>
      <c r="Z41" s="33">
        <f t="shared" ca="1" si="2"/>
        <v>0</v>
      </c>
      <c r="AA41" s="39"/>
      <c r="AB41" s="35">
        <f t="shared" si="3"/>
        <v>0</v>
      </c>
    </row>
    <row r="42" spans="2:28" s="2" customFormat="1" ht="15" hidden="1" customHeight="1" x14ac:dyDescent="0.25">
      <c r="B42" s="26">
        <v>3708</v>
      </c>
      <c r="C42" s="44" t="s">
        <v>98</v>
      </c>
      <c r="D42" s="45"/>
      <c r="E42" s="33">
        <f t="shared" ca="1" si="9"/>
        <v>0</v>
      </c>
      <c r="F42" s="45"/>
      <c r="G42" s="45">
        <v>0</v>
      </c>
      <c r="H42" s="45">
        <v>0</v>
      </c>
      <c r="I42" s="45"/>
      <c r="J42" s="33">
        <v>0</v>
      </c>
      <c r="K42" s="33">
        <v>0</v>
      </c>
      <c r="L42" s="33">
        <f>K42</f>
        <v>0</v>
      </c>
      <c r="M42" s="33">
        <f t="shared" si="4"/>
        <v>0</v>
      </c>
      <c r="N42" s="33">
        <v>0</v>
      </c>
      <c r="O42" s="33">
        <f t="shared" si="7"/>
        <v>0</v>
      </c>
      <c r="P42" s="33">
        <v>0</v>
      </c>
      <c r="Q42" s="33">
        <f>'[2]3708 rezerva'!C12</f>
        <v>0</v>
      </c>
      <c r="R42" s="33">
        <f>'[2]3707 rezerva'!D13</f>
        <v>0</v>
      </c>
      <c r="S42" s="33">
        <f>'[2]3708 rezerva'!F12</f>
        <v>0</v>
      </c>
      <c r="T42" s="33">
        <f>'[2]3708 rezerva'!G12</f>
        <v>0</v>
      </c>
      <c r="U42" s="33">
        <f>'[2]3708 rezerva'!H12</f>
        <v>0</v>
      </c>
      <c r="V42" s="33">
        <v>0</v>
      </c>
      <c r="W42" s="33">
        <f t="shared" ca="1" si="1"/>
        <v>0</v>
      </c>
      <c r="X42" s="33">
        <f t="shared" ref="X42:Y57" si="10">O42-S42</f>
        <v>0</v>
      </c>
      <c r="Y42" s="33">
        <f t="shared" si="10"/>
        <v>0</v>
      </c>
      <c r="Z42" s="33">
        <f t="shared" ca="1" si="2"/>
        <v>0</v>
      </c>
      <c r="AA42" s="39"/>
      <c r="AB42" s="31">
        <f t="shared" ref="AB42:AB50" si="11">IF(X43&gt;0,J43+K43+X43-L43,J43+K43-L43)</f>
        <v>-1973151.1300000001</v>
      </c>
    </row>
    <row r="43" spans="2:28" s="2" customFormat="1" ht="15" customHeight="1" x14ac:dyDescent="0.3">
      <c r="B43" s="26">
        <v>3720</v>
      </c>
      <c r="C43" s="40" t="s">
        <v>99</v>
      </c>
      <c r="D43" s="40" t="s">
        <v>100</v>
      </c>
      <c r="E43" s="28">
        <f ca="1">IF(F43="",G43+SUMIF($F$8:$G$60,B43,$G$8:$G$60),0)+21360+376200</f>
        <v>3361209.0400000005</v>
      </c>
      <c r="F43" s="29"/>
      <c r="G43" s="28">
        <f>[1]Přehled!Z39+H43</f>
        <v>2963649.0400000005</v>
      </c>
      <c r="H43" s="28">
        <v>1995717.56</v>
      </c>
      <c r="I43" s="28"/>
      <c r="J43" s="28">
        <f>[1]Přehled!X39</f>
        <v>-1973151.1300000001</v>
      </c>
      <c r="K43" s="28">
        <v>0</v>
      </c>
      <c r="L43" s="28">
        <f>K43</f>
        <v>0</v>
      </c>
      <c r="M43" s="28">
        <v>0</v>
      </c>
      <c r="N43" s="28">
        <v>0</v>
      </c>
      <c r="O43" s="28">
        <f t="shared" si="7"/>
        <v>-1973151.1300000001</v>
      </c>
      <c r="P43" s="28">
        <v>0</v>
      </c>
      <c r="Q43" s="28">
        <f>'[2]3720 RCPTM '!C18</f>
        <v>0</v>
      </c>
      <c r="R43" s="28">
        <f>'[2]3720 RCPTM '!D18</f>
        <v>238700</v>
      </c>
      <c r="S43" s="28">
        <f>'[2]3720 RCPTM '!F18</f>
        <v>0</v>
      </c>
      <c r="T43" s="28">
        <f>'[2]3720 RCPTM '!G18</f>
        <v>0</v>
      </c>
      <c r="U43" s="28">
        <f>'[2]3720 RCPTM '!H18</f>
        <v>50671.56</v>
      </c>
      <c r="V43" s="28">
        <v>0</v>
      </c>
      <c r="W43" s="28">
        <f t="shared" ca="1" si="1"/>
        <v>3361209.0400000005</v>
      </c>
      <c r="X43" s="28">
        <f t="shared" si="10"/>
        <v>-1973151.1300000001</v>
      </c>
      <c r="Y43" s="28">
        <f t="shared" si="10"/>
        <v>0</v>
      </c>
      <c r="Z43" s="28">
        <f t="shared" ca="1" si="2"/>
        <v>3310537.4800000004</v>
      </c>
      <c r="AA43" s="39"/>
      <c r="AB43" s="35">
        <f t="shared" si="11"/>
        <v>1158656</v>
      </c>
    </row>
    <row r="44" spans="2:28" s="2" customFormat="1" ht="15" customHeight="1" x14ac:dyDescent="0.3">
      <c r="B44" s="26">
        <v>3721</v>
      </c>
      <c r="C44" s="32" t="s">
        <v>101</v>
      </c>
      <c r="D44" s="32" t="s">
        <v>102</v>
      </c>
      <c r="E44" s="33">
        <f ca="1">IF(F44="",G44+SUMIF($F$8:$G$60,B44,$G$8:$G$60),0)+300000</f>
        <v>300000.0299999998</v>
      </c>
      <c r="F44" s="34"/>
      <c r="G44" s="33">
        <f>[1]Přehled!Z40+H44</f>
        <v>2.9999999795109034E-2</v>
      </c>
      <c r="H44" s="33">
        <v>0</v>
      </c>
      <c r="I44" s="33"/>
      <c r="J44" s="33">
        <f>[1]Přehled!X40</f>
        <v>421104</v>
      </c>
      <c r="K44" s="33">
        <v>316448</v>
      </c>
      <c r="L44" s="33">
        <f>K44+383429.47</f>
        <v>699877.47</v>
      </c>
      <c r="M44" s="33">
        <f t="shared" ref="M44:M60" si="12">N44-K44</f>
        <v>0</v>
      </c>
      <c r="N44" s="33">
        <v>316448</v>
      </c>
      <c r="O44" s="33">
        <f t="shared" si="7"/>
        <v>1120981.47</v>
      </c>
      <c r="P44" s="33">
        <f>62968.28</f>
        <v>62968.28</v>
      </c>
      <c r="Q44" s="33">
        <f>'[2]3721 RCPTM'!C13</f>
        <v>6000000</v>
      </c>
      <c r="R44" s="33">
        <f>'[2]3721 RCPTM'!D13</f>
        <v>0</v>
      </c>
      <c r="S44" s="33">
        <f>'[2]3721 RCPTM'!F13</f>
        <v>0</v>
      </c>
      <c r="T44" s="33">
        <f>'[2]3721 RCPTM'!G13</f>
        <v>62968.28</v>
      </c>
      <c r="U44" s="33">
        <f>'[2]3721 RCPTM'!H13</f>
        <v>0</v>
      </c>
      <c r="V44" s="33">
        <v>0</v>
      </c>
      <c r="W44" s="33">
        <f t="shared" ca="1" si="1"/>
        <v>300000.0299999998</v>
      </c>
      <c r="X44" s="33">
        <f t="shared" si="10"/>
        <v>1120981.47</v>
      </c>
      <c r="Y44" s="33">
        <f t="shared" si="10"/>
        <v>0</v>
      </c>
      <c r="Z44" s="33">
        <f t="shared" ca="1" si="2"/>
        <v>300000.0299999998</v>
      </c>
      <c r="AA44" s="39"/>
      <c r="AB44" s="35">
        <f t="shared" si="11"/>
        <v>44522.25</v>
      </c>
    </row>
    <row r="45" spans="2:28" s="2" customFormat="1" ht="15" customHeight="1" x14ac:dyDescent="0.3">
      <c r="B45" s="26">
        <v>3722</v>
      </c>
      <c r="C45" s="32" t="s">
        <v>103</v>
      </c>
      <c r="D45" s="32" t="s">
        <v>55</v>
      </c>
      <c r="E45" s="33">
        <f ca="1">IF(F45="",G45+SUMIF($F$8:$G$60,B45,$G$8:$G$60),0)</f>
        <v>2671580.81</v>
      </c>
      <c r="F45" s="34"/>
      <c r="G45" s="33">
        <f>[1]Přehled!Z41+H45</f>
        <v>2671580.81</v>
      </c>
      <c r="H45" s="33">
        <v>2500941.56</v>
      </c>
      <c r="I45" s="33"/>
      <c r="J45" s="33">
        <f>[1]Přehled!X41</f>
        <v>44522.25</v>
      </c>
      <c r="K45" s="33">
        <v>1281793.8</v>
      </c>
      <c r="L45" s="33">
        <f>K45</f>
        <v>1281793.8</v>
      </c>
      <c r="M45" s="33">
        <f t="shared" si="12"/>
        <v>88247</v>
      </c>
      <c r="N45" s="33">
        <v>1370040.8</v>
      </c>
      <c r="O45" s="33">
        <f t="shared" si="7"/>
        <v>1414563.05</v>
      </c>
      <c r="P45" s="33">
        <f>699636.48+64000</f>
        <v>763636.48</v>
      </c>
      <c r="Q45" s="33">
        <f>'[2]3722 RCPTM uhlík'!C20</f>
        <v>5260000</v>
      </c>
      <c r="R45" s="33">
        <f>'[2]3722 RCPTM uhlík'!D20</f>
        <v>0</v>
      </c>
      <c r="S45" s="33">
        <f>'[2]3722 RCPTM uhlík'!F20</f>
        <v>1421708.88</v>
      </c>
      <c r="T45" s="33">
        <f>'[2]3722 RCPTM uhlík'!G20</f>
        <v>763636.48</v>
      </c>
      <c r="U45" s="33">
        <f>'[2]3722 RCPTM uhlík'!H20</f>
        <v>0</v>
      </c>
      <c r="V45" s="33">
        <v>0</v>
      </c>
      <c r="W45" s="33">
        <f t="shared" ca="1" si="1"/>
        <v>2671580.81</v>
      </c>
      <c r="X45" s="33">
        <f t="shared" si="10"/>
        <v>-7145.8299999998417</v>
      </c>
      <c r="Y45" s="33">
        <f t="shared" si="10"/>
        <v>0</v>
      </c>
      <c r="Z45" s="33">
        <f t="shared" ca="1" si="2"/>
        <v>2671580.81</v>
      </c>
      <c r="AA45" s="39"/>
      <c r="AB45" s="35">
        <f t="shared" si="11"/>
        <v>809581.79999999993</v>
      </c>
    </row>
    <row r="46" spans="2:28" s="2" customFormat="1" ht="15" customHeight="1" x14ac:dyDescent="0.3">
      <c r="B46" s="26">
        <v>3723</v>
      </c>
      <c r="C46" s="32" t="s">
        <v>104</v>
      </c>
      <c r="D46" s="32" t="s">
        <v>105</v>
      </c>
      <c r="E46" s="33">
        <f ca="1">IF(F46="",G46+SUMIF($F$8:$G$60,B46,$G$8:$G$60),0)</f>
        <v>4322074.1800000006</v>
      </c>
      <c r="F46" s="34"/>
      <c r="G46" s="33">
        <f>[1]Přehled!Z42+H46</f>
        <v>4322074.1800000006</v>
      </c>
      <c r="H46" s="33">
        <v>1229880.3899999999</v>
      </c>
      <c r="I46" s="33"/>
      <c r="J46" s="37">
        <f>[1]Přehled!X42</f>
        <v>40007.399999999907</v>
      </c>
      <c r="K46" s="37">
        <v>729567</v>
      </c>
      <c r="L46" s="37">
        <f>K46-769574.4</f>
        <v>-40007.400000000023</v>
      </c>
      <c r="M46" s="37">
        <f t="shared" si="12"/>
        <v>0</v>
      </c>
      <c r="N46" s="37">
        <v>729567</v>
      </c>
      <c r="O46" s="33">
        <f t="shared" si="7"/>
        <v>-1.1641532182693481E-10</v>
      </c>
      <c r="P46" s="33">
        <v>0</v>
      </c>
      <c r="Q46" s="33">
        <f>'[2]3723 RCPTM komplexy'!C17</f>
        <v>0</v>
      </c>
      <c r="R46" s="33">
        <f>'[2]3723 RCPTM komplexy'!D17</f>
        <v>0</v>
      </c>
      <c r="S46" s="37">
        <f>'[2]3723 RCPTM komplexy'!F17</f>
        <v>130002</v>
      </c>
      <c r="T46" s="37">
        <f>'[2]3723 RCPTM komplexy'!G17</f>
        <v>0</v>
      </c>
      <c r="U46" s="37">
        <f>'[2]3723 RCPTM komplexy'!H17</f>
        <v>0</v>
      </c>
      <c r="V46" s="33">
        <v>1958066.74</v>
      </c>
      <c r="W46" s="33">
        <f t="shared" ca="1" si="1"/>
        <v>2364007.4400000004</v>
      </c>
      <c r="X46" s="33">
        <f t="shared" si="10"/>
        <v>-130002.00000000012</v>
      </c>
      <c r="Y46" s="33">
        <f t="shared" si="10"/>
        <v>0</v>
      </c>
      <c r="Z46" s="33">
        <f t="shared" ca="1" si="2"/>
        <v>2364007.4400000004</v>
      </c>
      <c r="AA46" s="39"/>
      <c r="AB46" s="35">
        <f t="shared" si="11"/>
        <v>578914.10000000009</v>
      </c>
    </row>
    <row r="47" spans="2:28" s="2" customFormat="1" ht="15" customHeight="1" x14ac:dyDescent="0.3">
      <c r="B47" s="26">
        <v>3724</v>
      </c>
      <c r="C47" s="32" t="s">
        <v>106</v>
      </c>
      <c r="D47" s="32" t="s">
        <v>107</v>
      </c>
      <c r="E47" s="33">
        <f ca="1">IF(F47="",G47+SUMIF($F$8:$G$60,B47,$G$8:$G$60),0)</f>
        <v>9794309.2699999996</v>
      </c>
      <c r="F47" s="34"/>
      <c r="G47" s="33">
        <f>[1]Přehled!Z43+H47</f>
        <v>9794309.2699999996</v>
      </c>
      <c r="H47" s="33">
        <v>128732.56</v>
      </c>
      <c r="I47" s="33"/>
      <c r="J47" s="33">
        <f>[1]Přehled!X43</f>
        <v>572785.08000000007</v>
      </c>
      <c r="K47" s="33">
        <v>376614</v>
      </c>
      <c r="L47" s="33">
        <f t="shared" ref="L47:L55" si="13">K47</f>
        <v>376614</v>
      </c>
      <c r="M47" s="33">
        <f t="shared" si="12"/>
        <v>38189</v>
      </c>
      <c r="N47" s="33">
        <v>414803</v>
      </c>
      <c r="O47" s="33">
        <f t="shared" si="7"/>
        <v>987588.08000000007</v>
      </c>
      <c r="P47" s="33">
        <v>0</v>
      </c>
      <c r="Q47" s="33">
        <f>'[2]3724 RCPTM optika'!C29</f>
        <v>8778500</v>
      </c>
      <c r="R47" s="33">
        <f>'[2]3724 RCPTM optika'!D29</f>
        <v>6400814.4600000009</v>
      </c>
      <c r="S47" s="33">
        <f>'[2]3724 RCPTM optika'!F29</f>
        <v>981459.06</v>
      </c>
      <c r="T47" s="33">
        <f>'[2]3724 RCPTM optika'!G29</f>
        <v>0</v>
      </c>
      <c r="U47" s="33">
        <f>'[2]3724 RCPTM optika'!H29</f>
        <v>193244.40999999997</v>
      </c>
      <c r="V47" s="33">
        <v>0</v>
      </c>
      <c r="W47" s="33">
        <f t="shared" ca="1" si="1"/>
        <v>9794309.2699999996</v>
      </c>
      <c r="X47" s="33">
        <f t="shared" si="10"/>
        <v>6129.0200000000186</v>
      </c>
      <c r="Y47" s="33">
        <f t="shared" si="10"/>
        <v>0</v>
      </c>
      <c r="Z47" s="33">
        <f t="shared" ca="1" si="2"/>
        <v>9601064.8599999994</v>
      </c>
      <c r="AA47" s="39"/>
      <c r="AB47" s="35">
        <f t="shared" si="11"/>
        <v>149852</v>
      </c>
    </row>
    <row r="48" spans="2:28" s="2" customFormat="1" ht="15" customHeight="1" x14ac:dyDescent="0.3">
      <c r="B48" s="26">
        <v>3725</v>
      </c>
      <c r="C48" s="32" t="s">
        <v>108</v>
      </c>
      <c r="D48" s="32" t="s">
        <v>109</v>
      </c>
      <c r="E48" s="33">
        <f ca="1">IF(F48="",G48+SUMIF($F$8:$G$60,B48,$G$8:$G$60),0)-21360</f>
        <v>1216320.47</v>
      </c>
      <c r="F48" s="34"/>
      <c r="G48" s="33">
        <f>[1]Přehled!Z44+H48</f>
        <v>1237680.47</v>
      </c>
      <c r="H48" s="33">
        <v>1237680.47</v>
      </c>
      <c r="I48" s="33"/>
      <c r="J48" s="33">
        <f>[1]Přehled!X44</f>
        <v>149852</v>
      </c>
      <c r="K48" s="33">
        <v>75784</v>
      </c>
      <c r="L48" s="33">
        <f t="shared" si="13"/>
        <v>75784</v>
      </c>
      <c r="M48" s="33">
        <f t="shared" si="12"/>
        <v>0</v>
      </c>
      <c r="N48" s="33">
        <v>75784</v>
      </c>
      <c r="O48" s="33">
        <f t="shared" si="7"/>
        <v>225636</v>
      </c>
      <c r="P48" s="33">
        <f>64000</f>
        <v>64000</v>
      </c>
      <c r="Q48" s="33">
        <f>'[2]3725 RCPTM kovy'!C14</f>
        <v>0</v>
      </c>
      <c r="R48" s="33">
        <f>'[2]3725 RCPTM kovy'!D14</f>
        <v>0</v>
      </c>
      <c r="S48" s="33">
        <f>'[2]3725 RCPTM kovy'!F14</f>
        <v>483560</v>
      </c>
      <c r="T48" s="33">
        <f>'[2]3725 RCPTM kovy'!G14</f>
        <v>64000</v>
      </c>
      <c r="U48" s="33">
        <f>'[2]3725 RCPTM kovy'!H14</f>
        <v>0</v>
      </c>
      <c r="V48" s="33">
        <v>0</v>
      </c>
      <c r="W48" s="33">
        <f t="shared" ca="1" si="1"/>
        <v>1216320.47</v>
      </c>
      <c r="X48" s="33">
        <f t="shared" si="10"/>
        <v>-257924</v>
      </c>
      <c r="Y48" s="33">
        <f t="shared" si="10"/>
        <v>0</v>
      </c>
      <c r="Z48" s="33">
        <f t="shared" ca="1" si="2"/>
        <v>1216320.47</v>
      </c>
      <c r="AA48" s="39"/>
      <c r="AB48" s="35">
        <f t="shared" si="11"/>
        <v>73275.469999999972</v>
      </c>
    </row>
    <row r="49" spans="2:28" s="2" customFormat="1" ht="15" customHeight="1" x14ac:dyDescent="0.3">
      <c r="B49" s="26">
        <v>3726</v>
      </c>
      <c r="C49" s="32" t="s">
        <v>110</v>
      </c>
      <c r="D49" s="36" t="s">
        <v>57</v>
      </c>
      <c r="E49" s="33">
        <f t="shared" ref="E49:E56" ca="1" si="14">IF(F49="",G49+SUMIF($F$8:$G$60,B49,$G$8:$G$60),0)</f>
        <v>341543.83999999904</v>
      </c>
      <c r="F49" s="34"/>
      <c r="G49" s="33">
        <f>[1]Přehled!Z45+H49</f>
        <v>341543.83999999904</v>
      </c>
      <c r="H49" s="33">
        <v>149517.04</v>
      </c>
      <c r="I49" s="33"/>
      <c r="J49" s="33">
        <f>[1]Přehled!X45</f>
        <v>-153113.53000000003</v>
      </c>
      <c r="K49" s="33">
        <v>597384</v>
      </c>
      <c r="L49" s="33">
        <f t="shared" si="13"/>
        <v>597384</v>
      </c>
      <c r="M49" s="33">
        <f t="shared" si="12"/>
        <v>3973</v>
      </c>
      <c r="N49" s="33">
        <v>601357</v>
      </c>
      <c r="O49" s="33">
        <f t="shared" si="7"/>
        <v>448243.47</v>
      </c>
      <c r="P49" s="33">
        <v>0</v>
      </c>
      <c r="Q49" s="33">
        <f>'[2]3726 RCPTM anal. chem'!C16</f>
        <v>0</v>
      </c>
      <c r="R49" s="33">
        <f>'[2]3726 RCPTM anal. chem'!D16</f>
        <v>0</v>
      </c>
      <c r="S49" s="37">
        <f>'[2]3726 RCPTM anal. chem'!F16</f>
        <v>221854.47</v>
      </c>
      <c r="T49" s="37">
        <f>'[2]3726 RCPTM anal. chem'!G16</f>
        <v>0</v>
      </c>
      <c r="U49" s="37">
        <f>'[2]3726 RCPTM anal. chem'!H16</f>
        <v>0</v>
      </c>
      <c r="V49" s="33">
        <v>0</v>
      </c>
      <c r="W49" s="33">
        <f t="shared" ca="1" si="1"/>
        <v>341543.83999999904</v>
      </c>
      <c r="X49" s="33">
        <f t="shared" si="10"/>
        <v>226388.99999999997</v>
      </c>
      <c r="Y49" s="33">
        <f t="shared" si="10"/>
        <v>0</v>
      </c>
      <c r="Z49" s="33">
        <f t="shared" ca="1" si="2"/>
        <v>341543.83999999904</v>
      </c>
      <c r="AA49" s="39"/>
      <c r="AB49" s="35">
        <f t="shared" si="11"/>
        <v>141276</v>
      </c>
    </row>
    <row r="50" spans="2:28" s="2" customFormat="1" ht="15" customHeight="1" x14ac:dyDescent="0.25">
      <c r="B50" s="26">
        <v>3727</v>
      </c>
      <c r="C50" s="32" t="s">
        <v>111</v>
      </c>
      <c r="D50" s="36" t="s">
        <v>112</v>
      </c>
      <c r="E50" s="33">
        <f ca="1">IF(F50="",G50+SUMIF($F$8:$G$60,B50,$G$8:$G$60),0)+1500000</f>
        <v>2553463.09</v>
      </c>
      <c r="F50" s="34"/>
      <c r="G50" s="33">
        <f>[1]Přehled!Z46+H50</f>
        <v>1053463.0900000001</v>
      </c>
      <c r="H50" s="33">
        <v>1053463.0900000001</v>
      </c>
      <c r="I50" s="33"/>
      <c r="J50" s="33">
        <f>[1]Přehled!X46</f>
        <v>40464</v>
      </c>
      <c r="K50" s="33">
        <v>60348</v>
      </c>
      <c r="L50" s="33">
        <f>K50+644130</f>
        <v>704478</v>
      </c>
      <c r="M50" s="33">
        <f t="shared" si="12"/>
        <v>0</v>
      </c>
      <c r="N50" s="33">
        <v>60348</v>
      </c>
      <c r="O50" s="33">
        <f t="shared" si="7"/>
        <v>744942</v>
      </c>
      <c r="P50" s="33">
        <f>64000</f>
        <v>64000</v>
      </c>
      <c r="Q50" s="37">
        <f>'[2]3727 RCPTM Environmental'!C12</f>
        <v>1300000</v>
      </c>
      <c r="R50" s="33">
        <f>'[2]3727 RCPTM Environmental'!D12</f>
        <v>0</v>
      </c>
      <c r="S50" s="33">
        <f>'[2]3727 RCPTM Environmental'!F12</f>
        <v>0</v>
      </c>
      <c r="T50" s="33">
        <f>'[2]3727 RCPTM Environmental'!G12</f>
        <v>64000</v>
      </c>
      <c r="U50" s="33">
        <f>'[2]3727 RCPTM Environmental'!H12</f>
        <v>0</v>
      </c>
      <c r="V50" s="33">
        <v>0</v>
      </c>
      <c r="W50" s="33">
        <f t="shared" ca="1" si="1"/>
        <v>2553463.09</v>
      </c>
      <c r="X50" s="33">
        <f t="shared" si="10"/>
        <v>744942</v>
      </c>
      <c r="Y50" s="33">
        <f t="shared" si="10"/>
        <v>0</v>
      </c>
      <c r="Z50" s="33">
        <f t="shared" ca="1" si="2"/>
        <v>2553463.09</v>
      </c>
      <c r="AA50" s="39"/>
      <c r="AB50" s="35">
        <f t="shared" si="11"/>
        <v>2</v>
      </c>
    </row>
    <row r="51" spans="2:28" s="2" customFormat="1" ht="15.6" x14ac:dyDescent="0.3">
      <c r="B51" s="26">
        <v>3728</v>
      </c>
      <c r="C51" s="32" t="s">
        <v>113</v>
      </c>
      <c r="D51" s="36" t="s">
        <v>114</v>
      </c>
      <c r="E51" s="33">
        <f t="shared" ca="1" si="14"/>
        <v>0</v>
      </c>
      <c r="F51" s="34"/>
      <c r="G51" s="33">
        <v>0</v>
      </c>
      <c r="H51" s="33">
        <v>0</v>
      </c>
      <c r="I51" s="33"/>
      <c r="J51" s="33">
        <v>0</v>
      </c>
      <c r="K51" s="33">
        <v>0</v>
      </c>
      <c r="L51" s="33">
        <f t="shared" si="13"/>
        <v>0</v>
      </c>
      <c r="M51" s="33">
        <f t="shared" si="12"/>
        <v>2</v>
      </c>
      <c r="N51" s="33">
        <v>2</v>
      </c>
      <c r="O51" s="33">
        <f t="shared" si="7"/>
        <v>2</v>
      </c>
      <c r="P51" s="33">
        <v>185502.42</v>
      </c>
      <c r="Q51" s="37">
        <f>'[2]3728 RCPTM '!C19</f>
        <v>799500</v>
      </c>
      <c r="R51" s="33">
        <f>'[2]3728 RCPTM '!D19</f>
        <v>101000</v>
      </c>
      <c r="S51" s="33">
        <f>'[2]3728 RCPTM '!F19</f>
        <v>0</v>
      </c>
      <c r="T51" s="33">
        <f>'[2]3728 RCPTM '!G19</f>
        <v>185502.41999999998</v>
      </c>
      <c r="U51" s="33">
        <f>'[2]3728 RCPTM '!H19</f>
        <v>0</v>
      </c>
      <c r="V51" s="33">
        <v>0</v>
      </c>
      <c r="W51" s="33">
        <v>0</v>
      </c>
      <c r="X51" s="33">
        <f t="shared" si="10"/>
        <v>2</v>
      </c>
      <c r="Y51" s="33">
        <f t="shared" si="10"/>
        <v>0</v>
      </c>
      <c r="Z51" s="33">
        <f t="shared" ca="1" si="2"/>
        <v>0</v>
      </c>
      <c r="AA51" s="39"/>
      <c r="AB51" s="35"/>
    </row>
    <row r="52" spans="2:28" s="2" customFormat="1" ht="15.75" hidden="1" x14ac:dyDescent="0.25">
      <c r="B52" s="26">
        <v>3729</v>
      </c>
      <c r="C52" s="44" t="s">
        <v>115</v>
      </c>
      <c r="D52" s="36"/>
      <c r="E52" s="44">
        <f t="shared" ca="1" si="14"/>
        <v>0</v>
      </c>
      <c r="F52" s="34"/>
      <c r="G52" s="33">
        <v>0</v>
      </c>
      <c r="H52" s="33">
        <v>0</v>
      </c>
      <c r="I52" s="33"/>
      <c r="J52" s="33">
        <v>0</v>
      </c>
      <c r="K52" s="33">
        <v>0</v>
      </c>
      <c r="L52" s="33">
        <f t="shared" si="13"/>
        <v>0</v>
      </c>
      <c r="M52" s="33">
        <f t="shared" si="12"/>
        <v>0</v>
      </c>
      <c r="N52" s="33">
        <v>0</v>
      </c>
      <c r="O52" s="33">
        <f t="shared" si="7"/>
        <v>0</v>
      </c>
      <c r="P52" s="33">
        <v>0</v>
      </c>
      <c r="Q52" s="37">
        <f>'[2]3729 RCPTM  rezerva'!C12</f>
        <v>0</v>
      </c>
      <c r="R52" s="33">
        <f>'[2]3729 RCPTM  rezerva'!D12</f>
        <v>0</v>
      </c>
      <c r="S52" s="33">
        <f>'[2]3729 RCPTM  rezerva'!F12</f>
        <v>0</v>
      </c>
      <c r="T52" s="33">
        <f>'[2]3729 RCPTM  rezerva'!G12</f>
        <v>0</v>
      </c>
      <c r="U52" s="33">
        <f>'[2]3729 RCPTM  rezerva'!H12</f>
        <v>0</v>
      </c>
      <c r="V52" s="33">
        <v>0</v>
      </c>
      <c r="W52" s="33"/>
      <c r="X52" s="33">
        <f t="shared" si="10"/>
        <v>0</v>
      </c>
      <c r="Y52" s="33">
        <f t="shared" si="10"/>
        <v>0</v>
      </c>
      <c r="Z52" s="33">
        <f t="shared" ca="1" si="2"/>
        <v>0</v>
      </c>
      <c r="AA52" s="39"/>
      <c r="AB52" s="35"/>
    </row>
    <row r="53" spans="2:28" s="2" customFormat="1" ht="31.5" hidden="1" customHeight="1" x14ac:dyDescent="0.25">
      <c r="B53" s="26">
        <v>3730</v>
      </c>
      <c r="C53" s="44" t="s">
        <v>115</v>
      </c>
      <c r="D53" s="36"/>
      <c r="E53" s="44">
        <f t="shared" ca="1" si="14"/>
        <v>0</v>
      </c>
      <c r="F53" s="34"/>
      <c r="G53" s="33">
        <v>0</v>
      </c>
      <c r="H53" s="33">
        <v>0</v>
      </c>
      <c r="I53" s="33"/>
      <c r="J53" s="33">
        <v>0</v>
      </c>
      <c r="K53" s="33">
        <v>0</v>
      </c>
      <c r="L53" s="33">
        <f t="shared" si="13"/>
        <v>0</v>
      </c>
      <c r="M53" s="33">
        <f t="shared" si="12"/>
        <v>0</v>
      </c>
      <c r="N53" s="33">
        <v>0</v>
      </c>
      <c r="O53" s="33">
        <f t="shared" si="7"/>
        <v>0</v>
      </c>
      <c r="P53" s="33">
        <v>0</v>
      </c>
      <c r="Q53" s="37">
        <f>'[2]3730 RCPTM  rezerva'!C12</f>
        <v>0</v>
      </c>
      <c r="R53" s="33">
        <f>'[2]3730 RCPTM  rezerva'!D12</f>
        <v>0</v>
      </c>
      <c r="S53" s="33">
        <f>'[2]3730 RCPTM  rezerva'!F12</f>
        <v>0</v>
      </c>
      <c r="T53" s="33">
        <f>'[2]3730 RCPTM  rezerva'!G12</f>
        <v>0</v>
      </c>
      <c r="U53" s="33">
        <f>'[2]3730 RCPTM  rezerva'!H12</f>
        <v>0</v>
      </c>
      <c r="V53" s="33">
        <v>0</v>
      </c>
      <c r="W53" s="33"/>
      <c r="X53" s="33">
        <f t="shared" si="10"/>
        <v>0</v>
      </c>
      <c r="Y53" s="33">
        <f t="shared" si="10"/>
        <v>0</v>
      </c>
      <c r="Z53" s="33">
        <f t="shared" ca="1" si="2"/>
        <v>0</v>
      </c>
      <c r="AA53" s="39"/>
      <c r="AB53" s="31">
        <f t="shared" ref="AB53:AB59" si="15">IF(X54&gt;0,J54+K54+X54-L54,J54+K54-L54)</f>
        <v>0</v>
      </c>
    </row>
    <row r="54" spans="2:28" s="2" customFormat="1" ht="34.5" customHeight="1" x14ac:dyDescent="0.3">
      <c r="B54" s="46">
        <v>3740</v>
      </c>
      <c r="C54" s="47" t="s">
        <v>116</v>
      </c>
      <c r="D54" s="48" t="s">
        <v>117</v>
      </c>
      <c r="E54" s="49">
        <f t="shared" ca="1" si="14"/>
        <v>-30207931.460000001</v>
      </c>
      <c r="F54" s="50"/>
      <c r="G54" s="49">
        <f>[1]Přehled!Z47+H54</f>
        <v>-30207931.460000001</v>
      </c>
      <c r="H54" s="49">
        <f>89424+2885000</f>
        <v>2974424</v>
      </c>
      <c r="I54" s="49"/>
      <c r="J54" s="49">
        <f>[1]Přehled!X47</f>
        <v>0</v>
      </c>
      <c r="K54" s="49">
        <v>0</v>
      </c>
      <c r="L54" s="49">
        <f>K54</f>
        <v>0</v>
      </c>
      <c r="M54" s="49">
        <f t="shared" si="12"/>
        <v>0</v>
      </c>
      <c r="N54" s="49">
        <v>0</v>
      </c>
      <c r="O54" s="49">
        <f t="shared" si="7"/>
        <v>0</v>
      </c>
      <c r="P54" s="49">
        <v>0</v>
      </c>
      <c r="Q54" s="49">
        <f>'[2]3740 Centrum pop_dokončení'!C16</f>
        <v>0</v>
      </c>
      <c r="R54" s="49">
        <f>'[2]3740 Centrum pop_dokončení'!D16</f>
        <v>0</v>
      </c>
      <c r="S54" s="49">
        <f>'[2]3740 Centrum pop_dokončení'!F16</f>
        <v>0</v>
      </c>
      <c r="T54" s="49">
        <f>'[2]3740 Centrum pop_dokončení'!G16</f>
        <v>0</v>
      </c>
      <c r="U54" s="51">
        <v>0</v>
      </c>
      <c r="V54" s="49">
        <v>6574942</v>
      </c>
      <c r="W54" s="49">
        <f t="shared" ref="W54:W60" ca="1" si="16">E54-V54</f>
        <v>-36782873.460000001</v>
      </c>
      <c r="X54" s="49">
        <f t="shared" si="10"/>
        <v>0</v>
      </c>
      <c r="Y54" s="49">
        <f t="shared" si="10"/>
        <v>0</v>
      </c>
      <c r="Z54" s="49">
        <f t="shared" ca="1" si="2"/>
        <v>-36782873.460000001</v>
      </c>
      <c r="AA54" s="39"/>
      <c r="AB54" s="35">
        <f t="shared" si="15"/>
        <v>0</v>
      </c>
    </row>
    <row r="55" spans="2:28" s="2" customFormat="1" ht="15" customHeight="1" x14ac:dyDescent="0.3">
      <c r="B55" s="52">
        <v>3741</v>
      </c>
      <c r="C55" s="47" t="s">
        <v>118</v>
      </c>
      <c r="D55" s="48" t="s">
        <v>117</v>
      </c>
      <c r="E55" s="49">
        <f t="shared" ca="1" si="14"/>
        <v>-1536491.86</v>
      </c>
      <c r="F55" s="50"/>
      <c r="G55" s="49">
        <f>[1]Přehled!Z48+H55</f>
        <v>-1536491.86</v>
      </c>
      <c r="H55" s="49">
        <v>0</v>
      </c>
      <c r="I55" s="49"/>
      <c r="J55" s="49">
        <f>[1]Přehled!X48</f>
        <v>0</v>
      </c>
      <c r="K55" s="49">
        <v>0</v>
      </c>
      <c r="L55" s="49">
        <f t="shared" si="13"/>
        <v>0</v>
      </c>
      <c r="M55" s="49">
        <f t="shared" si="12"/>
        <v>0</v>
      </c>
      <c r="N55" s="49">
        <v>0</v>
      </c>
      <c r="O55" s="49">
        <f t="shared" si="7"/>
        <v>0</v>
      </c>
      <c r="P55" s="49">
        <v>0</v>
      </c>
      <c r="Q55" s="49">
        <f>'[2]3741_Provoz_expozic_dokončení _'!C12</f>
        <v>0</v>
      </c>
      <c r="R55" s="49">
        <f>'[2]3741_Provoz_expozic_dokončení _'!D12</f>
        <v>0</v>
      </c>
      <c r="S55" s="49">
        <f>'[2]3741_Provoz_expozic_dokončení _'!F12</f>
        <v>0</v>
      </c>
      <c r="T55" s="49">
        <f>'[2]3741_Provoz_expozic_dokončení _'!G12</f>
        <v>0</v>
      </c>
      <c r="U55" s="49">
        <f>'[2]3741_Provoz_expozic_dokončení _'!H12</f>
        <v>0</v>
      </c>
      <c r="V55" s="49">
        <v>0</v>
      </c>
      <c r="W55" s="49">
        <f t="shared" ca="1" si="16"/>
        <v>-1536491.86</v>
      </c>
      <c r="X55" s="49">
        <f t="shared" si="10"/>
        <v>0</v>
      </c>
      <c r="Y55" s="49">
        <f t="shared" si="10"/>
        <v>0</v>
      </c>
      <c r="Z55" s="49">
        <f t="shared" ca="1" si="2"/>
        <v>-1536491.86</v>
      </c>
      <c r="AA55" s="39"/>
      <c r="AB55" s="35">
        <f t="shared" si="15"/>
        <v>2258035.6100000003</v>
      </c>
    </row>
    <row r="56" spans="2:28" s="2" customFormat="1" ht="15" customHeight="1" x14ac:dyDescent="0.3">
      <c r="B56" s="53" t="s">
        <v>119</v>
      </c>
      <c r="C56" s="32" t="s">
        <v>120</v>
      </c>
      <c r="D56" s="32"/>
      <c r="E56" s="33">
        <f t="shared" ca="1" si="14"/>
        <v>1084257.2400000012</v>
      </c>
      <c r="F56" s="34"/>
      <c r="G56" s="33">
        <f>[1]Přehled!Z49+H56</f>
        <v>1084257.2400000012</v>
      </c>
      <c r="H56" s="33">
        <v>0</v>
      </c>
      <c r="I56" s="33"/>
      <c r="J56" s="33">
        <f>[1]Přehled!X49</f>
        <v>1110798.56</v>
      </c>
      <c r="K56" s="33">
        <v>582311</v>
      </c>
      <c r="L56" s="37">
        <f>K56</f>
        <v>582311</v>
      </c>
      <c r="M56" s="33">
        <f t="shared" si="12"/>
        <v>84049</v>
      </c>
      <c r="N56" s="33">
        <v>666360</v>
      </c>
      <c r="O56" s="33">
        <f t="shared" si="7"/>
        <v>1777158.56</v>
      </c>
      <c r="P56" s="33">
        <f>6000000-699636.48-62968.28-64000-64000-64000-5045395.24</f>
        <v>0</v>
      </c>
      <c r="Q56" s="37">
        <f>'[2]3900_1 Děkanát vybavení'!C17</f>
        <v>2749885</v>
      </c>
      <c r="R56" s="33">
        <f>'[2]3900_1 Děkanát vybavení'!D17</f>
        <v>0</v>
      </c>
      <c r="S56" s="33">
        <f>'[2]3900_1 Děkanát vybavení'!F17</f>
        <v>629921.51</v>
      </c>
      <c r="T56" s="33">
        <f>'[2]3900_1 Děkanát vybavení'!G17</f>
        <v>0</v>
      </c>
      <c r="U56" s="54">
        <f>'[2]3900_1 Děkanát vybavení'!H17</f>
        <v>337909.42000000004</v>
      </c>
      <c r="V56" s="33">
        <v>0</v>
      </c>
      <c r="W56" s="33">
        <f t="shared" ca="1" si="16"/>
        <v>1084257.2400000012</v>
      </c>
      <c r="X56" s="55">
        <f t="shared" si="10"/>
        <v>1147237.05</v>
      </c>
      <c r="Y56" s="33">
        <f t="shared" si="10"/>
        <v>0</v>
      </c>
      <c r="Z56" s="33">
        <f t="shared" ca="1" si="2"/>
        <v>746347.82000000111</v>
      </c>
      <c r="AA56" s="30"/>
      <c r="AB56" s="35">
        <f t="shared" si="15"/>
        <v>-5390475.3000000007</v>
      </c>
    </row>
    <row r="57" spans="2:28" s="2" customFormat="1" ht="15" customHeight="1" x14ac:dyDescent="0.25">
      <c r="B57" s="53" t="s">
        <v>121</v>
      </c>
      <c r="C57" s="32" t="s">
        <v>122</v>
      </c>
      <c r="D57" s="32"/>
      <c r="E57" s="33">
        <f ca="1">IF(F57="",G57+SUMIF($F$8:$G$60,B57,$G$8:$G$60),0)+21265.05+46042.13+40000</f>
        <v>22657532.019999996</v>
      </c>
      <c r="F57" s="34"/>
      <c r="G57" s="33">
        <f>[1]Přehled!Z50+H57</f>
        <v>22550224.839999996</v>
      </c>
      <c r="H57" s="33">
        <f>9899967.73-40384.09-168768.48-115032.91-5807.53-144659.56-1500</f>
        <v>9423815.1600000001</v>
      </c>
      <c r="I57" s="33"/>
      <c r="J57" s="33">
        <f>[1]Přehled!X50</f>
        <v>91455.229999999749</v>
      </c>
      <c r="K57" s="33">
        <v>0</v>
      </c>
      <c r="L57" s="37">
        <f>K57+313803.52+769574.4+1300000+1859892.82+938659.79+300000</f>
        <v>5481930.5300000003</v>
      </c>
      <c r="M57" s="33">
        <f t="shared" si="12"/>
        <v>0</v>
      </c>
      <c r="N57" s="33">
        <v>0</v>
      </c>
      <c r="O57" s="33">
        <f t="shared" si="7"/>
        <v>5573385.7599999998</v>
      </c>
      <c r="P57" s="33">
        <v>0</v>
      </c>
      <c r="Q57" s="37">
        <f>'[2]3900_2 Děkanát rozvoj'!C35</f>
        <v>37330000</v>
      </c>
      <c r="R57" s="33">
        <f>'[2]3900_2 Děkanát rozvoj'!D35</f>
        <v>0</v>
      </c>
      <c r="S57" s="33">
        <f>'[2]3900_2 Děkanát rozvoj'!F35</f>
        <v>7545124.830000001</v>
      </c>
      <c r="T57" s="33">
        <f>'[2]3900_2 Děkanát rozvoj'!G35</f>
        <v>0</v>
      </c>
      <c r="U57" s="33">
        <f>'[2]3900_2 Děkanát rozvoj'!H35</f>
        <v>5738033.0299999993</v>
      </c>
      <c r="V57" s="33">
        <v>687164.05</v>
      </c>
      <c r="W57" s="33">
        <f t="shared" ca="1" si="16"/>
        <v>21970367.969999995</v>
      </c>
      <c r="X57" s="55">
        <f t="shared" si="10"/>
        <v>-1971739.0700000012</v>
      </c>
      <c r="Y57" s="33">
        <f t="shared" si="10"/>
        <v>0</v>
      </c>
      <c r="Z57" s="33">
        <f t="shared" ca="1" si="2"/>
        <v>16232334.939999994</v>
      </c>
      <c r="AA57" s="30"/>
      <c r="AB57" s="35">
        <f t="shared" si="15"/>
        <v>0</v>
      </c>
    </row>
    <row r="58" spans="2:28" s="2" customFormat="1" ht="15" customHeight="1" x14ac:dyDescent="0.25">
      <c r="B58" s="53" t="s">
        <v>123</v>
      </c>
      <c r="C58" s="32" t="s">
        <v>124</v>
      </c>
      <c r="D58" s="32"/>
      <c r="E58" s="33">
        <f ca="1">IF(F58="",G58+SUMIF($F$8:$G$60,B58,$G$8:$G$60),0)</f>
        <v>2119594.9</v>
      </c>
      <c r="F58" s="34"/>
      <c r="G58" s="33">
        <f>[1]Přehled!Z51+H58</f>
        <v>2119594.9</v>
      </c>
      <c r="H58" s="33">
        <v>0</v>
      </c>
      <c r="I58" s="33"/>
      <c r="J58" s="33">
        <f>[1]Přehled!X51</f>
        <v>0</v>
      </c>
      <c r="K58" s="33">
        <v>0</v>
      </c>
      <c r="L58" s="33">
        <f>K58</f>
        <v>0</v>
      </c>
      <c r="M58" s="33">
        <f t="shared" si="12"/>
        <v>0</v>
      </c>
      <c r="N58" s="33">
        <v>0</v>
      </c>
      <c r="O58" s="33">
        <f t="shared" si="7"/>
        <v>0</v>
      </c>
      <c r="P58" s="33">
        <v>0</v>
      </c>
      <c r="Q58" s="33">
        <f>'[2]3900_3 Internacionalizace'!C15</f>
        <v>0</v>
      </c>
      <c r="R58" s="33">
        <f>'[2]3900_3 Internacionalizace'!D15</f>
        <v>0</v>
      </c>
      <c r="S58" s="33">
        <f>'[2]3900_3 Internacionalizace'!F15</f>
        <v>0</v>
      </c>
      <c r="T58" s="33">
        <f>'[2]3900_3 Internacionalizace'!G15</f>
        <v>0</v>
      </c>
      <c r="U58" s="33">
        <f>'[2]3900_3 Internacionalizace'!H15</f>
        <v>0</v>
      </c>
      <c r="V58" s="33">
        <v>0</v>
      </c>
      <c r="W58" s="33">
        <f t="shared" ca="1" si="16"/>
        <v>2119594.9</v>
      </c>
      <c r="X58" s="33">
        <f t="shared" ref="X58:Y59" si="17">O58-S58</f>
        <v>0</v>
      </c>
      <c r="Y58" s="33">
        <f t="shared" si="17"/>
        <v>0</v>
      </c>
      <c r="Z58" s="33">
        <f t="shared" ca="1" si="2"/>
        <v>2119594.9</v>
      </c>
      <c r="AA58" s="39"/>
      <c r="AB58" s="35">
        <f t="shared" si="15"/>
        <v>0</v>
      </c>
    </row>
    <row r="59" spans="2:28" s="2" customFormat="1" ht="15" customHeight="1" x14ac:dyDescent="0.3">
      <c r="B59" s="53" t="s">
        <v>125</v>
      </c>
      <c r="C59" s="32" t="s">
        <v>126</v>
      </c>
      <c r="D59" s="32"/>
      <c r="E59" s="33">
        <f ca="1">IF(F59="",G59+SUMIF($F$8:$G$60,B59,$G$8:$G$60),0)</f>
        <v>0</v>
      </c>
      <c r="F59" s="56"/>
      <c r="G59" s="33">
        <f>[1]Přehled!Z52+H59</f>
        <v>0</v>
      </c>
      <c r="H59" s="33">
        <v>0</v>
      </c>
      <c r="I59" s="33"/>
      <c r="J59" s="33">
        <f>[1]Přehled!X52</f>
        <v>0</v>
      </c>
      <c r="K59" s="33">
        <v>0</v>
      </c>
      <c r="L59" s="33">
        <f>K59</f>
        <v>0</v>
      </c>
      <c r="M59" s="33">
        <f t="shared" si="12"/>
        <v>0</v>
      </c>
      <c r="N59" s="33">
        <v>0</v>
      </c>
      <c r="O59" s="33">
        <f t="shared" si="7"/>
        <v>0</v>
      </c>
      <c r="P59" s="33">
        <v>0</v>
      </c>
      <c r="Q59" s="33">
        <f>'[2]3900_4 Děkanát solidární fond'!C15</f>
        <v>0</v>
      </c>
      <c r="R59" s="33">
        <f>'[2]3900_4 Děkanát solidární fond'!D15</f>
        <v>0</v>
      </c>
      <c r="S59" s="33">
        <f>'[2]3900_4 Děkanát solidární fond'!F15</f>
        <v>0</v>
      </c>
      <c r="T59" s="33">
        <f>'[2]3900_4 Děkanát solidární fond'!G15</f>
        <v>0</v>
      </c>
      <c r="U59" s="33">
        <f>'[2]3900_4 Děkanát solidární fond'!H15</f>
        <v>0</v>
      </c>
      <c r="V59" s="33">
        <v>0</v>
      </c>
      <c r="W59" s="33">
        <f t="shared" ca="1" si="16"/>
        <v>0</v>
      </c>
      <c r="X59" s="33">
        <f t="shared" si="17"/>
        <v>0</v>
      </c>
      <c r="Y59" s="33">
        <f t="shared" si="17"/>
        <v>0</v>
      </c>
      <c r="Z59" s="33">
        <f t="shared" ca="1" si="2"/>
        <v>0</v>
      </c>
      <c r="AA59" s="39"/>
      <c r="AB59" s="35">
        <f t="shared" si="15"/>
        <v>0</v>
      </c>
    </row>
    <row r="60" spans="2:28" s="2" customFormat="1" ht="15" customHeight="1" x14ac:dyDescent="0.3">
      <c r="B60" s="53" t="s">
        <v>127</v>
      </c>
      <c r="C60" s="32" t="s">
        <v>128</v>
      </c>
      <c r="D60" s="32"/>
      <c r="E60" s="33">
        <f ca="1">IF(F60="",G60+SUMIF($F$8:$G$60,B60,$G$8:$G$60),0)</f>
        <v>-649873</v>
      </c>
      <c r="F60" s="34"/>
      <c r="G60" s="33">
        <f>[1]Přehled!Z53+H60</f>
        <v>-649873</v>
      </c>
      <c r="H60" s="33">
        <v>0</v>
      </c>
      <c r="I60" s="33"/>
      <c r="J60" s="33">
        <f>[1]Přehled!X53</f>
        <v>0</v>
      </c>
      <c r="K60" s="33">
        <v>0</v>
      </c>
      <c r="L60" s="33">
        <f>K60</f>
        <v>0</v>
      </c>
      <c r="M60" s="33">
        <f t="shared" si="12"/>
        <v>0</v>
      </c>
      <c r="N60" s="33">
        <v>0</v>
      </c>
      <c r="O60" s="33">
        <f t="shared" si="7"/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f t="shared" ca="1" si="16"/>
        <v>-649873</v>
      </c>
      <c r="X60" s="33">
        <f>O60-S60</f>
        <v>0</v>
      </c>
      <c r="Y60" s="33">
        <f>P60-T60</f>
        <v>0</v>
      </c>
      <c r="Z60" s="33">
        <f t="shared" ca="1" si="2"/>
        <v>-649873</v>
      </c>
      <c r="AA60" s="39"/>
      <c r="AB60" s="31">
        <f t="shared" ref="AB60" si="18">SUM(AB8:AB59)</f>
        <v>17033289.550000001</v>
      </c>
    </row>
    <row r="61" spans="2:28" s="2" customFormat="1" ht="30" customHeight="1" x14ac:dyDescent="0.25">
      <c r="B61" s="57" t="s">
        <v>129</v>
      </c>
      <c r="C61" s="57"/>
      <c r="D61" s="57"/>
      <c r="E61" s="58">
        <f ca="1">SUM(E8:E60)</f>
        <v>110341470.33000003</v>
      </c>
      <c r="F61" s="59"/>
      <c r="G61" s="58">
        <f t="shared" ref="G61:Z61" si="19">SUM(G8:G60)</f>
        <v>110341470.33000004</v>
      </c>
      <c r="H61" s="58">
        <f t="shared" si="19"/>
        <v>30375961.140000004</v>
      </c>
      <c r="I61" s="58">
        <f t="shared" si="19"/>
        <v>0</v>
      </c>
      <c r="J61" s="58">
        <f t="shared" si="19"/>
        <v>4115455.1600000011</v>
      </c>
      <c r="K61" s="58">
        <f t="shared" si="19"/>
        <v>17923553.5</v>
      </c>
      <c r="L61" s="58">
        <f t="shared" si="19"/>
        <v>17923553.5</v>
      </c>
      <c r="M61" s="58">
        <f t="shared" si="19"/>
        <v>471408</v>
      </c>
      <c r="N61" s="58">
        <f t="shared" si="19"/>
        <v>18394961.5</v>
      </c>
      <c r="O61" s="58">
        <f t="shared" si="19"/>
        <v>22510416.660000004</v>
      </c>
      <c r="P61" s="58">
        <f t="shared" si="19"/>
        <v>6000000</v>
      </c>
      <c r="Q61" s="58">
        <f t="shared" si="19"/>
        <v>77181270.609999999</v>
      </c>
      <c r="R61" s="58">
        <f t="shared" si="19"/>
        <v>14100055.960000001</v>
      </c>
      <c r="S61" s="58">
        <f t="shared" si="19"/>
        <v>14581514.600000001</v>
      </c>
      <c r="T61" s="58">
        <f t="shared" si="19"/>
        <v>6000000</v>
      </c>
      <c r="U61" s="58">
        <f t="shared" si="19"/>
        <v>10980993.169999998</v>
      </c>
      <c r="V61" s="58">
        <f t="shared" si="19"/>
        <v>13052642.280000001</v>
      </c>
      <c r="W61" s="58">
        <f t="shared" ca="1" si="19"/>
        <v>97288828.050000042</v>
      </c>
      <c r="X61" s="58">
        <f t="shared" si="19"/>
        <v>7928902.0600000015</v>
      </c>
      <c r="Y61" s="58">
        <f t="shared" si="19"/>
        <v>0</v>
      </c>
      <c r="Z61" s="58">
        <f t="shared" ca="1" si="19"/>
        <v>86307834.880000055</v>
      </c>
      <c r="AA61" s="39"/>
    </row>
    <row r="62" spans="2:28" s="2" customFormat="1" ht="21.75" customHeight="1" x14ac:dyDescent="0.25">
      <c r="B62" s="60"/>
      <c r="C62" s="60"/>
      <c r="D62" s="60"/>
      <c r="E62" s="71"/>
      <c r="F62" s="72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39"/>
    </row>
    <row r="63" spans="2:28" s="2" customFormat="1" ht="60.75" customHeight="1" x14ac:dyDescent="0.3">
      <c r="B63" s="60"/>
      <c r="C63" s="75" t="s">
        <v>130</v>
      </c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30"/>
      <c r="V63" s="39"/>
      <c r="W63" s="39"/>
      <c r="X63" s="39"/>
      <c r="Y63" s="30"/>
      <c r="Z63" s="39"/>
    </row>
    <row r="64" spans="2:28" ht="17.25" hidden="1" x14ac:dyDescent="0.3">
      <c r="B64" s="61"/>
      <c r="C64" s="61"/>
      <c r="D64" s="62"/>
      <c r="E64" s="63">
        <f ca="1">E43+E44+E45+E46+E47+E48+E49+E50+E51</f>
        <v>24560500.73</v>
      </c>
      <c r="F64" s="64"/>
      <c r="G64" s="63"/>
      <c r="H64" s="63"/>
      <c r="I64" s="65"/>
      <c r="J64" s="65"/>
      <c r="K64" s="63"/>
      <c r="L64" s="63"/>
      <c r="M64" s="63"/>
      <c r="N64" s="63"/>
      <c r="O64" s="63"/>
      <c r="P64" s="65"/>
      <c r="Q64" s="65"/>
      <c r="R64" s="65"/>
      <c r="S64" s="64"/>
      <c r="T64" s="65"/>
      <c r="U64" s="66"/>
      <c r="V64" s="67"/>
      <c r="W64" s="65"/>
      <c r="X64" s="64"/>
      <c r="Y64" s="64"/>
      <c r="Z64" s="64"/>
    </row>
    <row r="65" spans="7:26" ht="17.25" x14ac:dyDescent="0.3">
      <c r="G65" s="68"/>
      <c r="Q65" s="68"/>
      <c r="S65" s="68"/>
      <c r="U65" s="68"/>
      <c r="Z65" s="64"/>
    </row>
    <row r="66" spans="7:26" ht="15" x14ac:dyDescent="0.25">
      <c r="H66" s="69"/>
      <c r="L66" s="70"/>
      <c r="O66" s="70"/>
      <c r="Z66" s="68"/>
    </row>
    <row r="67" spans="7:26" ht="15" x14ac:dyDescent="0.25">
      <c r="H67" s="69"/>
      <c r="Z67" s="68"/>
    </row>
    <row r="68" spans="7:26" ht="15" x14ac:dyDescent="0.25">
      <c r="H68" s="69"/>
    </row>
    <row r="69" spans="7:26" x14ac:dyDescent="0.3">
      <c r="H69" s="69"/>
    </row>
  </sheetData>
  <mergeCells count="17">
    <mergeCell ref="AB6:AB7"/>
    <mergeCell ref="H6:H7"/>
    <mergeCell ref="I6:I7"/>
    <mergeCell ref="J6:J7"/>
    <mergeCell ref="K6:K7"/>
    <mergeCell ref="L6:L7"/>
    <mergeCell ref="M6:M7"/>
    <mergeCell ref="G6:G7"/>
    <mergeCell ref="C63:T63"/>
    <mergeCell ref="B6:B7"/>
    <mergeCell ref="C6:C7"/>
    <mergeCell ref="D6:D7"/>
    <mergeCell ref="E6:E7"/>
    <mergeCell ref="F6:F7"/>
    <mergeCell ref="N6:N7"/>
    <mergeCell ref="P6:P7"/>
    <mergeCell ref="Q6:U6"/>
  </mergeCells>
  <hyperlinks>
    <hyperlink ref="D38" r:id="rId1" display="mailto:veronique.bergougnoux-fojtik@upol.cz"/>
  </hyperlinks>
  <pageMargins left="0.25" right="0.25" top="0.75" bottom="0.75" header="0.3" footer="0.3"/>
  <pageSetup paperSize="9" scale="50" orientation="landscape" horizontalDpi="300" verticalDpi="30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Company>Univerzita Palackého v Olomouci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Zdařilová</dc:creator>
  <cp:lastModifiedBy>Ing. Jana Zimová</cp:lastModifiedBy>
  <dcterms:created xsi:type="dcterms:W3CDTF">2018-03-22T10:57:23Z</dcterms:created>
  <dcterms:modified xsi:type="dcterms:W3CDTF">2018-04-03T04:03:59Z</dcterms:modified>
</cp:coreProperties>
</file>