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KolegiumDekana\Rozpocet2019\AS\"/>
    </mc:Choice>
  </mc:AlternateContent>
  <bookViews>
    <workbookView xWindow="0" yWindow="0" windowWidth="28800" windowHeight="12000"/>
  </bookViews>
  <sheets>
    <sheet name="Rozpočet 2019" sheetId="17" r:id="rId1"/>
    <sheet name="srovnání s rokem 2014-hodnoty" sheetId="18" state="hidden" r:id="rId2"/>
    <sheet name="Rozpočet 2016" sheetId="20" state="hidden" r:id="rId3"/>
  </sheets>
  <calcPr calcId="162913"/>
</workbook>
</file>

<file path=xl/calcChain.xml><?xml version="1.0" encoding="utf-8"?>
<calcChain xmlns="http://schemas.openxmlformats.org/spreadsheetml/2006/main">
  <c r="M27" i="17" l="1"/>
  <c r="L31" i="17" l="1"/>
  <c r="L54" i="17"/>
  <c r="L60" i="17"/>
  <c r="L58" i="17"/>
  <c r="L55" i="17"/>
  <c r="M34" i="17" l="1"/>
  <c r="M31" i="17"/>
  <c r="M54" i="17"/>
  <c r="M25" i="17"/>
  <c r="L25" i="17"/>
  <c r="G62" i="17" l="1"/>
  <c r="E62" i="17" l="1"/>
  <c r="F62" i="17"/>
  <c r="D62" i="17"/>
  <c r="V53" i="17" l="1"/>
  <c r="V46" i="17"/>
  <c r="K18" i="17" l="1"/>
  <c r="K17" i="17"/>
  <c r="J61" i="17" l="1"/>
  <c r="J60" i="17"/>
  <c r="J59" i="17"/>
  <c r="J58" i="17"/>
  <c r="J57" i="17"/>
  <c r="J56" i="17"/>
  <c r="J55" i="17"/>
  <c r="J54" i="17"/>
  <c r="J53" i="17"/>
  <c r="J52" i="17"/>
  <c r="J51" i="17"/>
  <c r="J50" i="17"/>
  <c r="J49" i="17"/>
  <c r="J48" i="17"/>
  <c r="J47" i="17"/>
  <c r="J46" i="17"/>
  <c r="J45" i="17"/>
  <c r="J44" i="17"/>
  <c r="J43" i="17"/>
  <c r="J42" i="17"/>
  <c r="J41" i="17"/>
  <c r="J40" i="17"/>
  <c r="J39" i="17"/>
  <c r="J38" i="17"/>
  <c r="J37" i="17"/>
  <c r="J36" i="17"/>
  <c r="J35" i="17"/>
  <c r="J34" i="17"/>
  <c r="J33" i="17"/>
  <c r="J32" i="17"/>
  <c r="J31" i="17"/>
  <c r="J30" i="17"/>
  <c r="J29" i="17"/>
  <c r="J28" i="17"/>
  <c r="J27" i="17"/>
  <c r="J26" i="17"/>
  <c r="J25" i="17"/>
  <c r="J24" i="17"/>
  <c r="J23" i="17"/>
  <c r="J22" i="17"/>
  <c r="J21" i="17"/>
  <c r="K16" i="17" l="1"/>
  <c r="N21" i="17" l="1"/>
  <c r="AC21" i="17"/>
  <c r="AE21" i="17" l="1"/>
  <c r="W21" i="17"/>
  <c r="V20" i="17" l="1"/>
  <c r="V24" i="17"/>
  <c r="V29" i="17"/>
  <c r="V35" i="17"/>
  <c r="V41" i="17"/>
  <c r="M19" i="17" l="1"/>
  <c r="L19" i="17"/>
  <c r="I19" i="17"/>
  <c r="H19" i="17"/>
  <c r="Y20" i="17"/>
  <c r="X20" i="17"/>
  <c r="W20" i="17"/>
  <c r="W16" i="17"/>
  <c r="Y15" i="17"/>
  <c r="X15" i="17"/>
  <c r="W15" i="17"/>
  <c r="U7" i="17"/>
  <c r="N51" i="17"/>
  <c r="W51" i="17" s="1"/>
  <c r="N47" i="17"/>
  <c r="W47" i="17" s="1"/>
  <c r="N45" i="17"/>
  <c r="N43" i="17"/>
  <c r="W43" i="17" s="1"/>
  <c r="N39" i="17"/>
  <c r="W39" i="17" s="1"/>
  <c r="N37" i="17"/>
  <c r="O35" i="17"/>
  <c r="X35" i="17" s="1"/>
  <c r="N35" i="17"/>
  <c r="W35" i="17" s="1"/>
  <c r="N31" i="17"/>
  <c r="W31" i="17" s="1"/>
  <c r="N29" i="17"/>
  <c r="N27" i="17"/>
  <c r="W27" i="17" s="1"/>
  <c r="N23" i="17"/>
  <c r="W23" i="17" s="1"/>
  <c r="N61" i="17"/>
  <c r="N60" i="17"/>
  <c r="W60" i="17" s="1"/>
  <c r="N59" i="17"/>
  <c r="W59" i="17" s="1"/>
  <c r="N58" i="17"/>
  <c r="N57" i="17"/>
  <c r="N56" i="17"/>
  <c r="W56" i="17" s="1"/>
  <c r="N55" i="17"/>
  <c r="W55" i="17" s="1"/>
  <c r="N54" i="17"/>
  <c r="N53" i="17"/>
  <c r="N52" i="17"/>
  <c r="W52" i="17" s="1"/>
  <c r="N50" i="17"/>
  <c r="N49" i="17"/>
  <c r="N48" i="17"/>
  <c r="W48" i="17" s="1"/>
  <c r="N46" i="17"/>
  <c r="N44" i="17"/>
  <c r="W44" i="17" s="1"/>
  <c r="N42" i="17"/>
  <c r="O41" i="17"/>
  <c r="X41" i="17" s="1"/>
  <c r="N41" i="17"/>
  <c r="N40" i="17"/>
  <c r="W40" i="17" s="1"/>
  <c r="N38" i="17"/>
  <c r="N36" i="17"/>
  <c r="W36" i="17" s="1"/>
  <c r="N34" i="17"/>
  <c r="N33" i="17"/>
  <c r="N32" i="17"/>
  <c r="W32" i="17" s="1"/>
  <c r="N30" i="17"/>
  <c r="O29" i="17"/>
  <c r="X29" i="17" s="1"/>
  <c r="N28" i="17"/>
  <c r="N26" i="17"/>
  <c r="N25" i="17"/>
  <c r="O24" i="17"/>
  <c r="N24" i="17"/>
  <c r="W24" i="17" s="1"/>
  <c r="N22" i="17"/>
  <c r="X24" i="17" l="1"/>
  <c r="P24" i="17"/>
  <c r="Y24" i="17" s="1"/>
  <c r="P35" i="17"/>
  <c r="Y35" i="17" s="1"/>
  <c r="P29" i="17"/>
  <c r="Y29" i="17" s="1"/>
  <c r="W25" i="17"/>
  <c r="W33" i="17"/>
  <c r="W41" i="17"/>
  <c r="P41" i="17"/>
  <c r="Y41" i="17" s="1"/>
  <c r="W49" i="17"/>
  <c r="W57" i="17"/>
  <c r="W22" i="17"/>
  <c r="W26" i="17"/>
  <c r="W30" i="17"/>
  <c r="W34" i="17"/>
  <c r="W38" i="17"/>
  <c r="W42" i="17"/>
  <c r="W46" i="17"/>
  <c r="W50" i="17"/>
  <c r="W54" i="17"/>
  <c r="W58" i="17"/>
  <c r="N19" i="17"/>
  <c r="W19" i="17" s="1"/>
  <c r="W37" i="17"/>
  <c r="W45" i="17"/>
  <c r="W53" i="17"/>
  <c r="W61" i="17"/>
  <c r="W28" i="17"/>
  <c r="J19" i="17"/>
  <c r="W29" i="17"/>
  <c r="K11" i="17" l="1"/>
  <c r="K8" i="17"/>
  <c r="K60" i="17" l="1"/>
  <c r="O60" i="17" s="1"/>
  <c r="K56" i="17"/>
  <c r="K52" i="17"/>
  <c r="K48" i="17"/>
  <c r="K44" i="17"/>
  <c r="K39" i="17"/>
  <c r="O39" i="17" s="1"/>
  <c r="K34" i="17"/>
  <c r="K30" i="17"/>
  <c r="O30" i="17" s="1"/>
  <c r="K25" i="17"/>
  <c r="O25" i="17" s="1"/>
  <c r="K59" i="17"/>
  <c r="K55" i="17"/>
  <c r="O55" i="17" s="1"/>
  <c r="K51" i="17"/>
  <c r="O51" i="17" s="1"/>
  <c r="K47" i="17"/>
  <c r="O47" i="17" s="1"/>
  <c r="K43" i="17"/>
  <c r="K38" i="17"/>
  <c r="O38" i="17" s="1"/>
  <c r="K33" i="17"/>
  <c r="O33" i="17" s="1"/>
  <c r="K28" i="17"/>
  <c r="K23" i="17"/>
  <c r="O23" i="17" s="1"/>
  <c r="K58" i="17"/>
  <c r="K54" i="17"/>
  <c r="O54" i="17" s="1"/>
  <c r="K50" i="17"/>
  <c r="O50" i="17" s="1"/>
  <c r="K46" i="17"/>
  <c r="O46" i="17" s="1"/>
  <c r="K42" i="17"/>
  <c r="O42" i="17" s="1"/>
  <c r="K37" i="17"/>
  <c r="O37" i="17" s="1"/>
  <c r="K32" i="17"/>
  <c r="O32" i="17" s="1"/>
  <c r="K27" i="17"/>
  <c r="O27" i="17" s="1"/>
  <c r="K22" i="17"/>
  <c r="O22" i="17" s="1"/>
  <c r="K61" i="17"/>
  <c r="O61" i="17" s="1"/>
  <c r="K57" i="17"/>
  <c r="K53" i="17"/>
  <c r="O53" i="17" s="1"/>
  <c r="K49" i="17"/>
  <c r="K45" i="17"/>
  <c r="O45" i="17" s="1"/>
  <c r="K40" i="17"/>
  <c r="O40" i="17" s="1"/>
  <c r="K36" i="17"/>
  <c r="O36" i="17" s="1"/>
  <c r="K31" i="17"/>
  <c r="K26" i="17"/>
  <c r="O26" i="17" s="1"/>
  <c r="K21" i="17"/>
  <c r="O21" i="17" s="1"/>
  <c r="O44" i="17"/>
  <c r="O49" i="17"/>
  <c r="O48" i="17"/>
  <c r="O43" i="17"/>
  <c r="O56" i="17"/>
  <c r="O52" i="17"/>
  <c r="O34" i="17"/>
  <c r="O59" i="17"/>
  <c r="O57" i="17"/>
  <c r="O31" i="17"/>
  <c r="O28" i="17"/>
  <c r="O58" i="17"/>
  <c r="K12" i="17"/>
  <c r="O12" i="17" s="1"/>
  <c r="X12" i="17" s="1"/>
  <c r="J12" i="17"/>
  <c r="N12" i="17" s="1"/>
  <c r="K9" i="17"/>
  <c r="O9" i="17" s="1"/>
  <c r="X9" i="17" s="1"/>
  <c r="J9" i="17"/>
  <c r="N9" i="17" s="1"/>
  <c r="X21" i="17" l="1"/>
  <c r="AF21" i="17"/>
  <c r="P21" i="17"/>
  <c r="AG21" i="17" s="1"/>
  <c r="P9" i="17"/>
  <c r="Y9" i="17" s="1"/>
  <c r="W9" i="17"/>
  <c r="P12" i="17"/>
  <c r="Y12" i="17" s="1"/>
  <c r="W12" i="17"/>
  <c r="X53" i="17"/>
  <c r="P53" i="17"/>
  <c r="X61" i="17"/>
  <c r="P61" i="17"/>
  <c r="Y61" i="17" s="1"/>
  <c r="X34" i="17"/>
  <c r="P34" i="17"/>
  <c r="Y34" i="17" s="1"/>
  <c r="P56" i="17"/>
  <c r="Y56" i="17" s="1"/>
  <c r="X56" i="17"/>
  <c r="P43" i="17"/>
  <c r="Y43" i="17" s="1"/>
  <c r="X43" i="17"/>
  <c r="X44" i="17"/>
  <c r="P44" i="17"/>
  <c r="Y44" i="17" s="1"/>
  <c r="X60" i="17"/>
  <c r="P60" i="17"/>
  <c r="Y60" i="17" s="1"/>
  <c r="X28" i="17"/>
  <c r="P28" i="17"/>
  <c r="Y28" i="17" s="1"/>
  <c r="X39" i="17"/>
  <c r="P39" i="17"/>
  <c r="Y39" i="17" s="1"/>
  <c r="X55" i="17"/>
  <c r="P55" i="17"/>
  <c r="Y55" i="17" s="1"/>
  <c r="X22" i="17"/>
  <c r="P22" i="17"/>
  <c r="Y22" i="17" s="1"/>
  <c r="P40" i="17"/>
  <c r="Y40" i="17" s="1"/>
  <c r="X40" i="17"/>
  <c r="X23" i="17"/>
  <c r="P23" i="17"/>
  <c r="Y23" i="17" s="1"/>
  <c r="P48" i="17"/>
  <c r="Y48" i="17" s="1"/>
  <c r="X48" i="17"/>
  <c r="X47" i="17"/>
  <c r="P47" i="17"/>
  <c r="X42" i="17"/>
  <c r="P42" i="17"/>
  <c r="X25" i="17"/>
  <c r="P25" i="17"/>
  <c r="X31" i="17"/>
  <c r="P31" i="17"/>
  <c r="Y31" i="17" s="1"/>
  <c r="X46" i="17"/>
  <c r="P46" i="17"/>
  <c r="X57" i="17"/>
  <c r="P57" i="17"/>
  <c r="Y57" i="17" s="1"/>
  <c r="X27" i="17"/>
  <c r="P27" i="17"/>
  <c r="Y27" i="17" s="1"/>
  <c r="X45" i="17"/>
  <c r="P45" i="17"/>
  <c r="Y45" i="17" s="1"/>
  <c r="X30" i="17"/>
  <c r="P30" i="17"/>
  <c r="X26" i="17"/>
  <c r="P26" i="17"/>
  <c r="Y26" i="17" s="1"/>
  <c r="X49" i="17"/>
  <c r="P49" i="17"/>
  <c r="Y49" i="17" s="1"/>
  <c r="X58" i="17"/>
  <c r="P58" i="17"/>
  <c r="Y58" i="17" s="1"/>
  <c r="K19" i="17"/>
  <c r="X36" i="17"/>
  <c r="P36" i="17"/>
  <c r="X54" i="17"/>
  <c r="P54" i="17"/>
  <c r="X50" i="17"/>
  <c r="P50" i="17"/>
  <c r="Y50" i="17" s="1"/>
  <c r="X33" i="17"/>
  <c r="P33" i="17"/>
  <c r="Y33" i="17" s="1"/>
  <c r="X51" i="17"/>
  <c r="P51" i="17"/>
  <c r="Y51" i="17" s="1"/>
  <c r="X59" i="17"/>
  <c r="P59" i="17"/>
  <c r="Y59" i="17" s="1"/>
  <c r="X32" i="17"/>
  <c r="P32" i="17"/>
  <c r="Y32" i="17" s="1"/>
  <c r="X52" i="17"/>
  <c r="P52" i="17"/>
  <c r="Y52" i="17" s="1"/>
  <c r="X38" i="17"/>
  <c r="P38" i="17"/>
  <c r="Y38" i="17" s="1"/>
  <c r="X37" i="17"/>
  <c r="P37" i="17"/>
  <c r="Y37" i="17" s="1"/>
  <c r="K14" i="17"/>
  <c r="O14" i="17" s="1"/>
  <c r="X14" i="17" s="1"/>
  <c r="O7" i="17"/>
  <c r="X7" i="17" s="1"/>
  <c r="J14" i="17"/>
  <c r="N14" i="17" s="1"/>
  <c r="N7" i="17"/>
  <c r="W7" i="17" s="1"/>
  <c r="Y46" i="17" l="1"/>
  <c r="Q46" i="17"/>
  <c r="Y53" i="17"/>
  <c r="Q53" i="17"/>
  <c r="Y21" i="17"/>
  <c r="Y42" i="17"/>
  <c r="Q41" i="17"/>
  <c r="Y30" i="17"/>
  <c r="Q29" i="17"/>
  <c r="Y47" i="17"/>
  <c r="Y36" i="17"/>
  <c r="Q35" i="17"/>
  <c r="Y54" i="17"/>
  <c r="Y25" i="17"/>
  <c r="Q24" i="17"/>
  <c r="Q20" i="17"/>
  <c r="O19" i="17"/>
  <c r="X19" i="17" s="1"/>
  <c r="P14" i="17"/>
  <c r="Y14" i="17" s="1"/>
  <c r="W14" i="17"/>
  <c r="P7" i="17"/>
  <c r="Y7" i="17" s="1"/>
  <c r="P19" i="17" l="1"/>
  <c r="Y19" i="17" s="1"/>
  <c r="AC61" i="17" l="1"/>
  <c r="AE16" i="17"/>
  <c r="AF15" i="17"/>
  <c r="AF14" i="17"/>
  <c r="AE9" i="17"/>
  <c r="AF7" i="17"/>
  <c r="AE7" i="17"/>
  <c r="AC60" i="17"/>
  <c r="AC59" i="17"/>
  <c r="AC58" i="17"/>
  <c r="AC57" i="17"/>
  <c r="AC56" i="17"/>
  <c r="AC55" i="17"/>
  <c r="AC54" i="17"/>
  <c r="AC53" i="17"/>
  <c r="AC52" i="17"/>
  <c r="AC51" i="17"/>
  <c r="AC50" i="17"/>
  <c r="AC49" i="17"/>
  <c r="AC48" i="17"/>
  <c r="AC47" i="17"/>
  <c r="AC46" i="17"/>
  <c r="AC45" i="17"/>
  <c r="AC44" i="17"/>
  <c r="AC43" i="17"/>
  <c r="AC42" i="17"/>
  <c r="AC41" i="17"/>
  <c r="AC40" i="17"/>
  <c r="AC39" i="17"/>
  <c r="AC38" i="17"/>
  <c r="AC37" i="17"/>
  <c r="AC36" i="17"/>
  <c r="AC35" i="17"/>
  <c r="AC34" i="17"/>
  <c r="AC33" i="17"/>
  <c r="AC32" i="17"/>
  <c r="AC31" i="17"/>
  <c r="AC30" i="17"/>
  <c r="AC29" i="17"/>
  <c r="AC28" i="17"/>
  <c r="AC27" i="17"/>
  <c r="AC26" i="17"/>
  <c r="AC25" i="17"/>
  <c r="AC24" i="17"/>
  <c r="AC23" i="17"/>
  <c r="AC22" i="17"/>
  <c r="AC20" i="17"/>
  <c r="AC19" i="17"/>
  <c r="AC16" i="17"/>
  <c r="AC15" i="17"/>
  <c r="AG15" i="17" s="1"/>
  <c r="AC14" i="17"/>
  <c r="AG14" i="17" s="1"/>
  <c r="AC12" i="17"/>
  <c r="AC9" i="17"/>
  <c r="AC7" i="17"/>
  <c r="AF61" i="17"/>
  <c r="AF60" i="17"/>
  <c r="AF59" i="17"/>
  <c r="AF58" i="17"/>
  <c r="AF57" i="17"/>
  <c r="AF56" i="17"/>
  <c r="AF55" i="17"/>
  <c r="AF54" i="17"/>
  <c r="AF53" i="17"/>
  <c r="AF52" i="17"/>
  <c r="AF51" i="17"/>
  <c r="AF50" i="17"/>
  <c r="AF49" i="17"/>
  <c r="AF48" i="17"/>
  <c r="AF47" i="17"/>
  <c r="AF46" i="17"/>
  <c r="AF45" i="17"/>
  <c r="AF44" i="17"/>
  <c r="AF43" i="17"/>
  <c r="AF42" i="17"/>
  <c r="AF41" i="17"/>
  <c r="AF40" i="17"/>
  <c r="AF39" i="17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9" i="17"/>
  <c r="AD46" i="17" l="1"/>
  <c r="AD53" i="17"/>
  <c r="AD35" i="17"/>
  <c r="AD20" i="17"/>
  <c r="AD24" i="17"/>
  <c r="AD29" i="17"/>
  <c r="AD41" i="17"/>
  <c r="AE14" i="17"/>
  <c r="AE61" i="17"/>
  <c r="AG9" i="17"/>
  <c r="AG61" i="17" l="1"/>
  <c r="AF20" i="17"/>
  <c r="AE15" i="17" l="1"/>
  <c r="AE60" i="17" l="1"/>
  <c r="AE24" i="17" l="1"/>
  <c r="AE29" i="17"/>
  <c r="AE35" i="17"/>
  <c r="AE41" i="17"/>
  <c r="J65" i="20"/>
  <c r="I59" i="20"/>
  <c r="R59" i="20" s="1"/>
  <c r="F59" i="20"/>
  <c r="R58" i="20"/>
  <c r="D58" i="20"/>
  <c r="I57" i="20"/>
  <c r="R57" i="20" s="1"/>
  <c r="I56" i="20"/>
  <c r="R56" i="20" s="1"/>
  <c r="D56" i="20"/>
  <c r="R55" i="20"/>
  <c r="D55" i="20"/>
  <c r="I54" i="20"/>
  <c r="R54" i="20" s="1"/>
  <c r="D54" i="20"/>
  <c r="I53" i="20"/>
  <c r="R53" i="20" s="1"/>
  <c r="I52" i="20"/>
  <c r="R52" i="20" s="1"/>
  <c r="D52" i="20"/>
  <c r="R51" i="20"/>
  <c r="D51" i="20"/>
  <c r="I50" i="20"/>
  <c r="R50" i="20" s="1"/>
  <c r="R49" i="20"/>
  <c r="D49" i="20"/>
  <c r="R48" i="20"/>
  <c r="R47" i="20"/>
  <c r="D47" i="20"/>
  <c r="R46" i="20"/>
  <c r="D46" i="20"/>
  <c r="Z45" i="20"/>
  <c r="Y45" i="20"/>
  <c r="I45" i="20"/>
  <c r="R45" i="20" s="1"/>
  <c r="V44" i="20"/>
  <c r="X44" i="20" s="1"/>
  <c r="I44" i="20"/>
  <c r="R44" i="20" s="1"/>
  <c r="V43" i="20"/>
  <c r="X43" i="20" s="1"/>
  <c r="I43" i="20"/>
  <c r="R43" i="20" s="1"/>
  <c r="I42" i="20"/>
  <c r="R42" i="20" s="1"/>
  <c r="D42" i="20"/>
  <c r="W41" i="20"/>
  <c r="V41" i="20"/>
  <c r="I41" i="20"/>
  <c r="R41" i="20" s="1"/>
  <c r="D41" i="20"/>
  <c r="I40" i="20"/>
  <c r="F40" i="20"/>
  <c r="H40" i="20" s="1"/>
  <c r="I39" i="20"/>
  <c r="R39" i="20" s="1"/>
  <c r="D39" i="20"/>
  <c r="I38" i="20"/>
  <c r="R38" i="20" s="1"/>
  <c r="I37" i="20"/>
  <c r="R37" i="20" s="1"/>
  <c r="D37" i="20"/>
  <c r="I36" i="20"/>
  <c r="R36" i="20" s="1"/>
  <c r="I35" i="20"/>
  <c r="R35" i="20" s="1"/>
  <c r="D35" i="20"/>
  <c r="I34" i="20"/>
  <c r="R34" i="20" s="1"/>
  <c r="F34" i="20"/>
  <c r="H34" i="20" s="1"/>
  <c r="I33" i="20"/>
  <c r="R33" i="20" s="1"/>
  <c r="D33" i="20"/>
  <c r="I32" i="20"/>
  <c r="R32" i="20" s="1"/>
  <c r="D32" i="20"/>
  <c r="I31" i="20"/>
  <c r="R31" i="20" s="1"/>
  <c r="D31" i="20"/>
  <c r="I30" i="20"/>
  <c r="R30" i="20" s="1"/>
  <c r="D30" i="20"/>
  <c r="I29" i="20"/>
  <c r="R29" i="20" s="1"/>
  <c r="D29" i="20"/>
  <c r="I28" i="20"/>
  <c r="R28" i="20" s="1"/>
  <c r="F28" i="20"/>
  <c r="H28" i="20" s="1"/>
  <c r="I27" i="20"/>
  <c r="R27" i="20" s="1"/>
  <c r="D27" i="20"/>
  <c r="I26" i="20"/>
  <c r="R26" i="20" s="1"/>
  <c r="D26" i="20"/>
  <c r="I25" i="20"/>
  <c r="R25" i="20" s="1"/>
  <c r="D25" i="20"/>
  <c r="I24" i="20"/>
  <c r="R24" i="20" s="1"/>
  <c r="D24" i="20"/>
  <c r="I23" i="20"/>
  <c r="R23" i="20" s="1"/>
  <c r="F23" i="20"/>
  <c r="H23" i="20" s="1"/>
  <c r="I22" i="20"/>
  <c r="R22" i="20" s="1"/>
  <c r="D22" i="20"/>
  <c r="I21" i="20"/>
  <c r="R21" i="20" s="1"/>
  <c r="D21" i="20"/>
  <c r="U20" i="20"/>
  <c r="I20" i="20"/>
  <c r="R20" i="20" s="1"/>
  <c r="D20" i="20"/>
  <c r="I19" i="20"/>
  <c r="R19" i="20" s="1"/>
  <c r="F19" i="20"/>
  <c r="H19" i="20" s="1"/>
  <c r="G18" i="20"/>
  <c r="E18" i="20"/>
  <c r="G17" i="20"/>
  <c r="I17" i="20" s="1"/>
  <c r="F16" i="20"/>
  <c r="I15" i="20"/>
  <c r="H15" i="20"/>
  <c r="D14" i="20"/>
  <c r="E13" i="20"/>
  <c r="D13" i="20"/>
  <c r="H11" i="20"/>
  <c r="R10" i="20"/>
  <c r="I10" i="20"/>
  <c r="H9" i="20"/>
  <c r="H12" i="20" s="1"/>
  <c r="O8" i="20"/>
  <c r="I8" i="20"/>
  <c r="J8" i="20" s="1"/>
  <c r="H2" i="20"/>
  <c r="I2" i="20" l="1"/>
  <c r="I9" i="20"/>
  <c r="I12" i="20" s="1"/>
  <c r="I13" i="20" s="1"/>
  <c r="R13" i="20" s="1"/>
  <c r="I11" i="20"/>
  <c r="E62" i="20"/>
  <c r="X41" i="20"/>
  <c r="G62" i="20"/>
  <c r="I18" i="20"/>
  <c r="R18" i="20" s="1"/>
  <c r="I62" i="20"/>
  <c r="D18" i="20"/>
  <c r="D62" i="20" s="1"/>
  <c r="AE20" i="17"/>
  <c r="V20" i="20"/>
  <c r="J28" i="20"/>
  <c r="Q28" i="20"/>
  <c r="S28" i="20" s="1"/>
  <c r="Q34" i="20"/>
  <c r="S34" i="20" s="1"/>
  <c r="J34" i="20"/>
  <c r="X45" i="20"/>
  <c r="Y44" i="20" s="1"/>
  <c r="Q23" i="20"/>
  <c r="S23" i="20" s="1"/>
  <c r="J23" i="20"/>
  <c r="J40" i="20"/>
  <c r="Q40" i="20"/>
  <c r="K10" i="20"/>
  <c r="R8" i="20"/>
  <c r="R11" i="20" s="1"/>
  <c r="H13" i="20"/>
  <c r="Q13" i="20" s="1"/>
  <c r="J13" i="20"/>
  <c r="J66" i="20"/>
  <c r="J19" i="20"/>
  <c r="Q19" i="20"/>
  <c r="R40" i="20"/>
  <c r="Y41" i="20" l="1"/>
  <c r="Y43" i="20"/>
  <c r="K18" i="20"/>
  <c r="S13" i="20"/>
  <c r="K13" i="20"/>
  <c r="K15" i="20" s="1"/>
  <c r="S40" i="20"/>
  <c r="AG7" i="17" l="1"/>
  <c r="AE47" i="17" l="1"/>
  <c r="F46" i="20"/>
  <c r="H46" i="20" s="1"/>
  <c r="F20" i="20" l="1"/>
  <c r="J46" i="20"/>
  <c r="Q46" i="20"/>
  <c r="S46" i="20" s="1"/>
  <c r="H20" i="20" l="1"/>
  <c r="J20" i="20" l="1"/>
  <c r="Q20" i="20"/>
  <c r="S20" i="20" s="1"/>
  <c r="AE54" i="17" l="1"/>
  <c r="F53" i="20"/>
  <c r="AE36" i="17"/>
  <c r="F35" i="20"/>
  <c r="H35" i="20" s="1"/>
  <c r="AE27" i="17"/>
  <c r="F26" i="20"/>
  <c r="H26" i="20" s="1"/>
  <c r="F44" i="20"/>
  <c r="H44" i="20" s="1"/>
  <c r="AE45" i="17"/>
  <c r="AE26" i="17"/>
  <c r="F25" i="20"/>
  <c r="H25" i="20" s="1"/>
  <c r="AE58" i="17"/>
  <c r="AE55" i="17"/>
  <c r="AE37" i="17" l="1"/>
  <c r="F36" i="20"/>
  <c r="H36" i="20" s="1"/>
  <c r="AE48" i="17"/>
  <c r="F47" i="20"/>
  <c r="H47" i="20" s="1"/>
  <c r="F48" i="20"/>
  <c r="H48" i="20" s="1"/>
  <c r="AE49" i="17"/>
  <c r="AE50" i="17"/>
  <c r="F49" i="20"/>
  <c r="H49" i="20" s="1"/>
  <c r="AE42" i="17"/>
  <c r="F41" i="20"/>
  <c r="H41" i="20" s="1"/>
  <c r="AE33" i="17"/>
  <c r="F32" i="20"/>
  <c r="H32" i="20" s="1"/>
  <c r="AE52" i="17"/>
  <c r="F51" i="20"/>
  <c r="H51" i="20" s="1"/>
  <c r="AE44" i="17"/>
  <c r="F43" i="20"/>
  <c r="H43" i="20" s="1"/>
  <c r="F54" i="20"/>
  <c r="AE38" i="17"/>
  <c r="F37" i="20"/>
  <c r="H37" i="20" s="1"/>
  <c r="AE56" i="17"/>
  <c r="F55" i="20"/>
  <c r="H55" i="20" s="1"/>
  <c r="AE39" i="17"/>
  <c r="F38" i="20"/>
  <c r="H38" i="20" s="1"/>
  <c r="F56" i="20"/>
  <c r="H56" i="20" s="1"/>
  <c r="AE57" i="17"/>
  <c r="AE40" i="17"/>
  <c r="F39" i="20"/>
  <c r="H39" i="20" s="1"/>
  <c r="F57" i="20"/>
  <c r="AE32" i="17"/>
  <c r="F31" i="20"/>
  <c r="H31" i="20" s="1"/>
  <c r="AE51" i="17"/>
  <c r="F50" i="20"/>
  <c r="H50" i="20" s="1"/>
  <c r="AE23" i="17"/>
  <c r="F22" i="20"/>
  <c r="H22" i="20" s="1"/>
  <c r="AE46" i="17"/>
  <c r="F45" i="20"/>
  <c r="H45" i="20" s="1"/>
  <c r="AE34" i="17"/>
  <c r="F33" i="20"/>
  <c r="H33" i="20" s="1"/>
  <c r="F52" i="20"/>
  <c r="H52" i="20" s="1"/>
  <c r="AE53" i="17"/>
  <c r="J25" i="20"/>
  <c r="Q25" i="20"/>
  <c r="S25" i="20" s="1"/>
  <c r="J44" i="20"/>
  <c r="Q44" i="20"/>
  <c r="S44" i="20" s="1"/>
  <c r="Q35" i="20"/>
  <c r="S35" i="20" s="1"/>
  <c r="J35" i="20"/>
  <c r="AE28" i="17"/>
  <c r="F27" i="20"/>
  <c r="H27" i="20" s="1"/>
  <c r="AE30" i="17"/>
  <c r="F29" i="20"/>
  <c r="H29" i="20" s="1"/>
  <c r="AE31" i="17"/>
  <c r="F30" i="20"/>
  <c r="H30" i="20" s="1"/>
  <c r="AE59" i="17"/>
  <c r="F58" i="20"/>
  <c r="H58" i="20" s="1"/>
  <c r="AE25" i="17"/>
  <c r="F24" i="20"/>
  <c r="H24" i="20" s="1"/>
  <c r="Q26" i="20"/>
  <c r="S26" i="20" s="1"/>
  <c r="J26" i="20"/>
  <c r="H59" i="20" l="1"/>
  <c r="Q59" i="20" s="1"/>
  <c r="S59" i="20" s="1"/>
  <c r="H54" i="20"/>
  <c r="Q54" i="20" s="1"/>
  <c r="S54" i="20" s="1"/>
  <c r="H57" i="20"/>
  <c r="Q57" i="20" s="1"/>
  <c r="S57" i="20" s="1"/>
  <c r="J30" i="20"/>
  <c r="Q30" i="20"/>
  <c r="S30" i="20" s="1"/>
  <c r="Q27" i="20"/>
  <c r="S27" i="20" s="1"/>
  <c r="J27" i="20"/>
  <c r="Q52" i="20"/>
  <c r="S52" i="20" s="1"/>
  <c r="J52" i="20"/>
  <c r="J33" i="20"/>
  <c r="Q33" i="20"/>
  <c r="S33" i="20" s="1"/>
  <c r="Q31" i="20"/>
  <c r="S31" i="20" s="1"/>
  <c r="J31" i="20"/>
  <c r="J56" i="20"/>
  <c r="Q56" i="20"/>
  <c r="S56" i="20" s="1"/>
  <c r="J24" i="20"/>
  <c r="Q24" i="20"/>
  <c r="S24" i="20" s="1"/>
  <c r="Q58" i="20"/>
  <c r="S58" i="20" s="1"/>
  <c r="J58" i="20"/>
  <c r="J45" i="20"/>
  <c r="Q45" i="20"/>
  <c r="S45" i="20" s="1"/>
  <c r="AE43" i="17"/>
  <c r="F42" i="20"/>
  <c r="H42" i="20" s="1"/>
  <c r="J50" i="20"/>
  <c r="Q50" i="20"/>
  <c r="S50" i="20" s="1"/>
  <c r="Q38" i="20"/>
  <c r="S38" i="20" s="1"/>
  <c r="J38" i="20"/>
  <c r="Q55" i="20"/>
  <c r="S55" i="20" s="1"/>
  <c r="J55" i="20"/>
  <c r="H53" i="20"/>
  <c r="Q51" i="20"/>
  <c r="S51" i="20" s="1"/>
  <c r="J51" i="20"/>
  <c r="Q41" i="20"/>
  <c r="S41" i="20" s="1"/>
  <c r="J41" i="20"/>
  <c r="J49" i="20"/>
  <c r="Q49" i="20"/>
  <c r="S49" i="20" s="1"/>
  <c r="Q36" i="20"/>
  <c r="S36" i="20" s="1"/>
  <c r="J36" i="20"/>
  <c r="F21" i="20"/>
  <c r="Q29" i="20"/>
  <c r="S29" i="20" s="1"/>
  <c r="J29" i="20"/>
  <c r="J22" i="20"/>
  <c r="Q22" i="20"/>
  <c r="S22" i="20" s="1"/>
  <c r="Q39" i="20"/>
  <c r="S39" i="20" s="1"/>
  <c r="J39" i="20"/>
  <c r="J37" i="20"/>
  <c r="Q37" i="20"/>
  <c r="S37" i="20" s="1"/>
  <c r="J43" i="20"/>
  <c r="Q43" i="20"/>
  <c r="S43" i="20" s="1"/>
  <c r="Q32" i="20"/>
  <c r="S32" i="20" s="1"/>
  <c r="J32" i="20"/>
  <c r="Q48" i="20"/>
  <c r="S48" i="20" s="1"/>
  <c r="J48" i="20"/>
  <c r="Q47" i="20"/>
  <c r="S47" i="20" s="1"/>
  <c r="J47" i="20"/>
  <c r="N2" i="17"/>
  <c r="AE22" i="17" l="1"/>
  <c r="J57" i="20"/>
  <c r="J54" i="20"/>
  <c r="J59" i="20"/>
  <c r="K34" i="20"/>
  <c r="K23" i="20"/>
  <c r="K28" i="20"/>
  <c r="H21" i="20"/>
  <c r="F62" i="20"/>
  <c r="F18" i="20"/>
  <c r="J42" i="20"/>
  <c r="K40" i="20" s="1"/>
  <c r="Q42" i="20"/>
  <c r="S42" i="20" s="1"/>
  <c r="K45" i="20"/>
  <c r="J53" i="20"/>
  <c r="Q53" i="20"/>
  <c r="S53" i="20" s="1"/>
  <c r="AG60" i="17"/>
  <c r="K52" i="20" l="1"/>
  <c r="J21" i="20"/>
  <c r="Q21" i="20"/>
  <c r="S21" i="20" s="1"/>
  <c r="H18" i="20"/>
  <c r="H62" i="20"/>
  <c r="J18" i="20" l="1"/>
  <c r="Q18" i="20"/>
  <c r="S18" i="20" s="1"/>
  <c r="J62" i="20"/>
  <c r="K19" i="20"/>
  <c r="O2" i="17" l="1"/>
  <c r="AG41" i="17" l="1"/>
  <c r="AG35" i="17"/>
  <c r="AG20" i="17"/>
  <c r="AG53" i="17" l="1"/>
  <c r="AG46" i="17"/>
  <c r="AF12" i="17" l="1"/>
  <c r="AE12" i="17" l="1"/>
  <c r="AG30" i="17"/>
  <c r="AG57" i="17"/>
  <c r="AG55" i="17"/>
  <c r="AG38" i="17"/>
  <c r="AG36" i="17"/>
  <c r="AG32" i="17"/>
  <c r="AG43" i="17"/>
  <c r="AG51" i="17"/>
  <c r="AG33" i="17"/>
  <c r="AG25" i="17"/>
  <c r="AG22" i="17"/>
  <c r="AG37" i="17"/>
  <c r="AG48" i="17"/>
  <c r="AG50" i="17"/>
  <c r="AG58" i="17"/>
  <c r="AG47" i="17"/>
  <c r="AG23" i="17"/>
  <c r="AG40" i="17"/>
  <c r="AG28" i="17"/>
  <c r="AG31" i="17"/>
  <c r="AG26" i="17"/>
  <c r="AG56" i="17"/>
  <c r="AG27" i="17"/>
  <c r="AG12" i="17" l="1"/>
  <c r="AG42" i="17" l="1"/>
  <c r="AG45" i="17"/>
  <c r="AG52" i="17" l="1"/>
  <c r="AG34" i="17" l="1"/>
  <c r="AG54" i="17"/>
  <c r="AF19" i="17"/>
  <c r="AG59" i="17"/>
  <c r="AE19" i="17"/>
  <c r="AG44" i="17" l="1"/>
  <c r="AG24" i="17"/>
  <c r="AG39" i="17"/>
  <c r="AG29" i="17"/>
  <c r="AG49" i="17"/>
  <c r="AG19" i="17"/>
  <c r="O16" i="17"/>
  <c r="X16" i="17" s="1"/>
  <c r="AF16" i="17" l="1"/>
  <c r="P16" i="17"/>
  <c r="AG16" i="17" l="1"/>
  <c r="Y16" i="17"/>
</calcChain>
</file>

<file path=xl/comments1.xml><?xml version="1.0" encoding="utf-8"?>
<comments xmlns="http://schemas.openxmlformats.org/spreadsheetml/2006/main">
  <authors>
    <author>Ing. Lenka Káňová</author>
  </authors>
  <commentList>
    <comment ref="G4" authorId="0" shapeId="0">
      <text>
        <r>
          <rPr>
            <b/>
            <sz val="9"/>
            <color indexed="81"/>
            <rFont val="Tahoma"/>
            <charset val="1"/>
          </rPr>
          <t>Ing. Lenka Káňová:</t>
        </r>
        <r>
          <rPr>
            <sz val="9"/>
            <color indexed="81"/>
            <rFont val="Tahoma"/>
            <charset val="1"/>
          </rPr>
          <t xml:space="preserve">
Pouze odhad!!!</t>
        </r>
      </text>
    </comment>
  </commentList>
</comments>
</file>

<file path=xl/sharedStrings.xml><?xml version="1.0" encoding="utf-8"?>
<sst xmlns="http://schemas.openxmlformats.org/spreadsheetml/2006/main" count="405" uniqueCount="181">
  <si>
    <t>KAG</t>
  </si>
  <si>
    <t>M</t>
  </si>
  <si>
    <t>F</t>
  </si>
  <si>
    <t>KEF</t>
  </si>
  <si>
    <t>SLO</t>
  </si>
  <si>
    <t>KBF</t>
  </si>
  <si>
    <t>B</t>
  </si>
  <si>
    <t>LRR</t>
  </si>
  <si>
    <t>KGI</t>
  </si>
  <si>
    <t>suma</t>
  </si>
  <si>
    <t>CRH-řídící úsek</t>
  </si>
  <si>
    <t>CRH</t>
  </si>
  <si>
    <t>CRH-biofyziky</t>
  </si>
  <si>
    <t>CRH-mol.biol.</t>
  </si>
  <si>
    <t>CRH-buněč.biol.</t>
  </si>
  <si>
    <t>RCPTM-vedení</t>
  </si>
  <si>
    <t>RCPTM-oxidy</t>
  </si>
  <si>
    <t>RCPTM-uhlík</t>
  </si>
  <si>
    <t>RCPTM-komplexy</t>
  </si>
  <si>
    <t>RCPTM-optika</t>
  </si>
  <si>
    <t>RCPTM-kovy</t>
  </si>
  <si>
    <t>RCPTM-analýzy</t>
  </si>
  <si>
    <t>RVO</t>
  </si>
  <si>
    <t>RCPTM</t>
  </si>
  <si>
    <t>Pevnost poznání</t>
  </si>
  <si>
    <t>CRH-chem. biologie a genetika</t>
  </si>
  <si>
    <t>CenBiol</t>
  </si>
  <si>
    <t>FRIM</t>
  </si>
  <si>
    <t>FPP</t>
  </si>
  <si>
    <t>KMA</t>
  </si>
  <si>
    <t>OPT</t>
  </si>
  <si>
    <t>AFC</t>
  </si>
  <si>
    <t>KFC</t>
  </si>
  <si>
    <t>ACH</t>
  </si>
  <si>
    <t>OCH</t>
  </si>
  <si>
    <t>KBC</t>
  </si>
  <si>
    <t>BOT</t>
  </si>
  <si>
    <t>ZOO</t>
  </si>
  <si>
    <t>EKO</t>
  </si>
  <si>
    <t>KBB</t>
  </si>
  <si>
    <t>KGG</t>
  </si>
  <si>
    <t>KGE</t>
  </si>
  <si>
    <t>MRS</t>
  </si>
  <si>
    <t>VCJ</t>
  </si>
  <si>
    <t>CPP</t>
  </si>
  <si>
    <t>zůstatek 2013</t>
  </si>
  <si>
    <t>výuka</t>
  </si>
  <si>
    <t>alokace 2013</t>
  </si>
  <si>
    <t>z toho FRIM</t>
  </si>
  <si>
    <t>/30</t>
  </si>
  <si>
    <t>/11</t>
  </si>
  <si>
    <t>-</t>
  </si>
  <si>
    <t>režie projektů</t>
  </si>
  <si>
    <t>VoZ</t>
  </si>
  <si>
    <t>Ch</t>
  </si>
  <si>
    <t>odhad</t>
  </si>
  <si>
    <t>přijem 2013</t>
  </si>
  <si>
    <t>přijem 2014</t>
  </si>
  <si>
    <t>rozdíl 2014-2013</t>
  </si>
  <si>
    <t>zůstatek 2012</t>
  </si>
  <si>
    <t xml:space="preserve">RVO 2012 k rozdělení </t>
  </si>
  <si>
    <t>provoz 2013</t>
  </si>
  <si>
    <t>Pracoviště</t>
  </si>
  <si>
    <t>Celkem</t>
  </si>
  <si>
    <t>SAP</t>
  </si>
  <si>
    <t xml:space="preserve">rozdíl provoz </t>
  </si>
  <si>
    <t>2014-2013</t>
  </si>
  <si>
    <t>změna %</t>
  </si>
  <si>
    <t>Děkanát celkem</t>
  </si>
  <si>
    <t>zatím avizované požadavky</t>
  </si>
  <si>
    <t>odhad včetně podílu režií</t>
  </si>
  <si>
    <t>Příloha č. 1</t>
  </si>
  <si>
    <t>anorganická chemie</t>
  </si>
  <si>
    <t>biochemie</t>
  </si>
  <si>
    <t>fyzikální chemie</t>
  </si>
  <si>
    <t>laboratoř růstových regulátorů</t>
  </si>
  <si>
    <t>mezinárodní rozvojová studia</t>
  </si>
  <si>
    <t>organická chemie</t>
  </si>
  <si>
    <t>společná laboratoř optiky</t>
  </si>
  <si>
    <t>KI</t>
  </si>
  <si>
    <t xml:space="preserve">rozdíl alokace </t>
  </si>
  <si>
    <t>obor/centrum</t>
  </si>
  <si>
    <t>CRH-bio.proteinů</t>
  </si>
  <si>
    <t>zatím doručené požadavky, konečný termín 20.9.2014</t>
  </si>
  <si>
    <t>RVO (/30)</t>
  </si>
  <si>
    <t>výuka (/11)</t>
  </si>
  <si>
    <t>Děkanát (z /11 a /30)</t>
  </si>
  <si>
    <t>Rektorát (z /11)</t>
  </si>
  <si>
    <t>Příjem PřF UP</t>
  </si>
  <si>
    <t>bude pokryto ze správní režie a doplňkové činnosti</t>
  </si>
  <si>
    <t>z FPP</t>
  </si>
  <si>
    <t>včetně vyrovnání pracovišť a děkanátu z 2013, bez investiční prostředků 2014</t>
  </si>
  <si>
    <t>příspěvek 2014</t>
  </si>
  <si>
    <t>A+K (/11)</t>
  </si>
  <si>
    <t>záporné zůstatky pracovišť z 2013 odečteny od příspěvku z /11 pro 2014; provedeny přesuny po dohodně vedoucích pracovišť</t>
  </si>
  <si>
    <t>Dělení finančních prostředků PřF UP pro rok 2014, v tis. Kč</t>
  </si>
  <si>
    <t xml:space="preserve">plán investic </t>
  </si>
  <si>
    <t>"daň 2013"</t>
  </si>
  <si>
    <t>rozdíl</t>
  </si>
  <si>
    <t>"daň 2014"</t>
  </si>
  <si>
    <t>vč. KBC, LRR, KBF</t>
  </si>
  <si>
    <t>vč. AFC, KEF, SLO, KFC, ACH</t>
  </si>
  <si>
    <t>Celkem rozděleno na pracoviště PřF UP</t>
  </si>
  <si>
    <t xml:space="preserve">Rektorát </t>
  </si>
  <si>
    <t>Celkem odvody</t>
  </si>
  <si>
    <t>A a K (/11)</t>
  </si>
  <si>
    <t>A+K 2015, analogie roku 2014, děleno 244 000</t>
  </si>
  <si>
    <t>rozdíl oproti 2014 (2015-2014)</t>
  </si>
  <si>
    <t>A+K 2015, krácení na max 3 mediány, děleno 244 000</t>
  </si>
  <si>
    <t>A+K 2015, krácení na max 4 mediány, děleno 244 000</t>
  </si>
  <si>
    <t>A+K 2015, krácení na max 5 mediánů, děleno 244 000</t>
  </si>
  <si>
    <t>katedra matematické analýzy a apikací matematiky</t>
  </si>
  <si>
    <t>katedra algebry a geometrie</t>
  </si>
  <si>
    <t>katedra informatiky</t>
  </si>
  <si>
    <t>katedra experimentální fyziky</t>
  </si>
  <si>
    <t>katedra optiky</t>
  </si>
  <si>
    <t>katedra biofyziky</t>
  </si>
  <si>
    <t>analytické chemie</t>
  </si>
  <si>
    <t>katedra botaniky</t>
  </si>
  <si>
    <t>katedra zoologie</t>
  </si>
  <si>
    <t>katedra ekologie a životního prostředí</t>
  </si>
  <si>
    <t>katedra buněčné biologie a genetiky</t>
  </si>
  <si>
    <t>katedra geografie</t>
  </si>
  <si>
    <t>katedra geologie</t>
  </si>
  <si>
    <t>katedra geoinformatiky</t>
  </si>
  <si>
    <t>Příloha č. 3</t>
  </si>
  <si>
    <t>Nárůst na pracoviště oproti 2014</t>
  </si>
  <si>
    <t>CRH-centrální laboratoře</t>
  </si>
  <si>
    <t>Pokuty a penále</t>
  </si>
  <si>
    <t>Celkem pracoviště PřF UP</t>
  </si>
  <si>
    <t>Solidární fond</t>
  </si>
  <si>
    <t>rozdíl /11</t>
  </si>
  <si>
    <t>celkem</t>
  </si>
  <si>
    <t>rozdíl /30</t>
  </si>
  <si>
    <t xml:space="preserve">rozdíl celkem </t>
  </si>
  <si>
    <t xml:space="preserve">Děkanát </t>
  </si>
  <si>
    <t>body</t>
  </si>
  <si>
    <t>Internacionalizace (10% K)</t>
  </si>
  <si>
    <t>Centrum popularizace</t>
  </si>
  <si>
    <t>cena bodu (99.5%)</t>
  </si>
  <si>
    <t>příspěvek bez kompenzace (po odvodech)</t>
  </si>
  <si>
    <t>nárůst</t>
  </si>
  <si>
    <t>podíl RVO k navýšení</t>
  </si>
  <si>
    <t>navýšení 2015</t>
  </si>
  <si>
    <t>navýšení 2016</t>
  </si>
  <si>
    <t>RCPTM-biomed</t>
  </si>
  <si>
    <t>RCPTM-environmental</t>
  </si>
  <si>
    <t>RCPTM-magnetic</t>
  </si>
  <si>
    <t>CRH-biofyzika</t>
  </si>
  <si>
    <t>CRH-biochemie proteinů</t>
  </si>
  <si>
    <t>CRH-molekulární biologie</t>
  </si>
  <si>
    <t>CRH-buněčná biologie</t>
  </si>
  <si>
    <t>Dělení finančních prostředků PřF UP pro rok 2017, v tis. Kč</t>
  </si>
  <si>
    <t>Celkem příspěvek 2017</t>
  </si>
  <si>
    <t>Příjem 2017</t>
  </si>
  <si>
    <t>FPP 2017</t>
  </si>
  <si>
    <r>
      <t>Provoz vyrovnání z roku 2016</t>
    </r>
    <r>
      <rPr>
        <sz val="11"/>
        <color rgb="FFFF0000"/>
        <rFont val="Calibri"/>
        <family val="2"/>
        <charset val="238"/>
        <scheme val="minor"/>
      </rPr>
      <t>*</t>
    </r>
  </si>
  <si>
    <t>Příspěvek 2017 po odvodech a přesunech</t>
  </si>
  <si>
    <t>Porovnání 2017 vs. 2016</t>
  </si>
  <si>
    <t>Knihovna (Science, provoz); Bilík</t>
  </si>
  <si>
    <t>*bude odečteno od příspěvku na rok 2017</t>
  </si>
  <si>
    <t>Knihovna (Science, provoz, popularizace RUP)</t>
  </si>
  <si>
    <t>RCPTM-elektrochemie</t>
  </si>
  <si>
    <t>Dělení finančních prostředků PřF UP pro rok 2019, v tis. Kč</t>
  </si>
  <si>
    <t>Příjem 2019 po odvodech</t>
  </si>
  <si>
    <t>Příjem 2019</t>
  </si>
  <si>
    <t>Příspěvek 2019 po odvodech a přesunech</t>
  </si>
  <si>
    <t>Celkem příspěvek 2019</t>
  </si>
  <si>
    <t>Porovnání 2019 vs. 2018</t>
  </si>
  <si>
    <t>Porovnání 2019 vs. 2017</t>
  </si>
  <si>
    <t>Rozdíl 2019 - 2018</t>
  </si>
  <si>
    <t>Rozdíl 2019 - 2017</t>
  </si>
  <si>
    <t>Přesuny</t>
  </si>
  <si>
    <t/>
  </si>
  <si>
    <t>Internacionalizace (3,3% K)</t>
  </si>
  <si>
    <t>M+I</t>
  </si>
  <si>
    <t>Převody na LF</t>
  </si>
  <si>
    <t>Převody na FZV</t>
  </si>
  <si>
    <t>FPP HV</t>
  </si>
  <si>
    <t>Konečný stav 2018</t>
  </si>
  <si>
    <t>Plán odpisů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</si>
</sst>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K_č_-;\-* #,##0.00\ _K_č_-;_-* &quot;-&quot;??\ _K_č_-;_-@_-"/>
    <numFmt numFmtId="164" formatCode="_-* #,##0.00\ _K_č_-;\-* #,##0.00\ _K_č_-;_-* \-??\ _K_č_-;_-@_-"/>
    <numFmt numFmtId="165" formatCode="_-* #,##0.00&quot; Kč&quot;_-;\-* #,##0.00&quot; Kč&quot;_-;_-* \-??&quot; Kč&quot;_-;_-@_-"/>
    <numFmt numFmtId="166" formatCode="0.0%"/>
    <numFmt numFmtId="167" formatCode="#,##0_ ;\-#,##0\ "/>
    <numFmt numFmtId="168" formatCode="#,##0.00000"/>
    <numFmt numFmtId="169" formatCode="#,##0.0000"/>
    <numFmt numFmtId="170" formatCode="0.000"/>
  </numFmts>
  <fonts count="5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B05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  <font>
      <sz val="11"/>
      <color theme="0" tint="-0.249977111117893"/>
      <name val="Calibri"/>
      <family val="2"/>
      <charset val="238"/>
      <scheme val="minor"/>
    </font>
    <font>
      <i/>
      <sz val="8"/>
      <color theme="0" tint="-0.1499984740745262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4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8E2D6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0">
    <xf numFmtId="0" fontId="0" fillId="0" borderId="0"/>
    <xf numFmtId="0" fontId="2" fillId="0" borderId="0"/>
    <xf numFmtId="164" fontId="2" fillId="0" borderId="0" applyFill="0" applyBorder="0" applyAlignment="0" applyProtection="0"/>
    <xf numFmtId="0" fontId="9" fillId="4" borderId="0" applyNumberFormat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0" fillId="0" borderId="0"/>
    <xf numFmtId="9" fontId="2" fillId="0" borderId="0" applyFill="0" applyBorder="0" applyAlignment="0" applyProtection="0"/>
    <xf numFmtId="0" fontId="12" fillId="0" borderId="0"/>
    <xf numFmtId="0" fontId="13" fillId="0" borderId="0"/>
    <xf numFmtId="0" fontId="23" fillId="0" borderId="0" applyNumberFormat="0" applyFill="0" applyBorder="0" applyAlignment="0" applyProtection="0"/>
    <xf numFmtId="0" fontId="24" fillId="0" borderId="56" applyNumberFormat="0" applyFill="0" applyAlignment="0" applyProtection="0"/>
    <xf numFmtId="0" fontId="25" fillId="0" borderId="57" applyNumberFormat="0" applyFill="0" applyAlignment="0" applyProtection="0"/>
    <xf numFmtId="0" fontId="26" fillId="0" borderId="58" applyNumberFormat="0" applyFill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0" applyNumberFormat="0" applyBorder="0" applyAlignment="0" applyProtection="0"/>
    <xf numFmtId="0" fontId="30" fillId="12" borderId="59" applyNumberFormat="0" applyAlignment="0" applyProtection="0"/>
    <xf numFmtId="0" fontId="31" fillId="13" borderId="60" applyNumberFormat="0" applyAlignment="0" applyProtection="0"/>
    <xf numFmtId="0" fontId="32" fillId="13" borderId="59" applyNumberFormat="0" applyAlignment="0" applyProtection="0"/>
    <xf numFmtId="0" fontId="33" fillId="0" borderId="61" applyNumberFormat="0" applyFill="0" applyAlignment="0" applyProtection="0"/>
    <xf numFmtId="0" fontId="18" fillId="14" borderId="62" applyNumberFormat="0" applyAlignment="0" applyProtection="0"/>
    <xf numFmtId="0" fontId="6" fillId="0" borderId="0" applyNumberFormat="0" applyFill="0" applyBorder="0" applyAlignment="0" applyProtection="0"/>
    <xf numFmtId="0" fontId="22" fillId="15" borderId="63" applyNumberFormat="0" applyFont="0" applyAlignment="0" applyProtection="0"/>
    <xf numFmtId="0" fontId="34" fillId="0" borderId="0" applyNumberFormat="0" applyFill="0" applyBorder="0" applyAlignment="0" applyProtection="0"/>
    <xf numFmtId="0" fontId="1" fillId="0" borderId="64" applyNumberFormat="0" applyFill="0" applyAlignment="0" applyProtection="0"/>
    <xf numFmtId="0" fontId="19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19" fillId="39" borderId="0" applyNumberFormat="0" applyBorder="0" applyAlignment="0" applyProtection="0"/>
    <xf numFmtId="0" fontId="35" fillId="0" borderId="0"/>
    <xf numFmtId="9" fontId="12" fillId="0" borderId="0" applyFont="0" applyFill="0" applyBorder="0" applyAlignment="0" applyProtection="0"/>
    <xf numFmtId="0" fontId="22" fillId="0" borderId="0"/>
    <xf numFmtId="9" fontId="5" fillId="0" borderId="37">
      <protection locked="0"/>
    </xf>
    <xf numFmtId="43" fontId="22" fillId="0" borderId="0" applyFont="0" applyFill="0" applyBorder="0" applyAlignment="0" applyProtection="0"/>
    <xf numFmtId="0" fontId="43" fillId="0" borderId="0"/>
    <xf numFmtId="0" fontId="22" fillId="0" borderId="0"/>
    <xf numFmtId="9" fontId="11" fillId="0" borderId="0" applyFont="0" applyFill="0" applyBorder="0" applyAlignment="0" applyProtection="0"/>
    <xf numFmtId="0" fontId="11" fillId="15" borderId="63" applyNumberFormat="0" applyFont="0" applyAlignment="0" applyProtection="0"/>
    <xf numFmtId="0" fontId="12" fillId="0" borderId="0"/>
    <xf numFmtId="0" fontId="12" fillId="0" borderId="0"/>
    <xf numFmtId="0" fontId="12" fillId="0" borderId="0"/>
  </cellStyleXfs>
  <cellXfs count="719">
    <xf numFmtId="0" fontId="0" fillId="0" borderId="0" xfId="0"/>
    <xf numFmtId="3" fontId="0" fillId="0" borderId="0" xfId="0" applyNumberFormat="1"/>
    <xf numFmtId="0" fontId="0" fillId="0" borderId="3" xfId="0" applyBorder="1"/>
    <xf numFmtId="0" fontId="1" fillId="0" borderId="0" xfId="0" applyFont="1"/>
    <xf numFmtId="3" fontId="0" fillId="0" borderId="9" xfId="0" applyNumberFormat="1" applyBorder="1"/>
    <xf numFmtId="0" fontId="0" fillId="0" borderId="0" xfId="0" applyFill="1" applyBorder="1"/>
    <xf numFmtId="3" fontId="0" fillId="0" borderId="0" xfId="0" applyNumberFormat="1" applyBorder="1"/>
    <xf numFmtId="0" fontId="0" fillId="0" borderId="0" xfId="0" applyFill="1"/>
    <xf numFmtId="3" fontId="0" fillId="0" borderId="0" xfId="0" applyNumberFormat="1" applyFill="1"/>
    <xf numFmtId="3" fontId="0" fillId="0" borderId="0" xfId="0" applyNumberFormat="1" applyFill="1" applyBorder="1"/>
    <xf numFmtId="3" fontId="0" fillId="0" borderId="3" xfId="0" applyNumberFormat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3" fontId="0" fillId="0" borderId="3" xfId="0" applyNumberFormat="1" applyFill="1" applyBorder="1" applyAlignment="1">
      <alignment horizontal="center"/>
    </xf>
    <xf numFmtId="3" fontId="0" fillId="0" borderId="33" xfId="0" applyNumberFormat="1" applyBorder="1"/>
    <xf numFmtId="3" fontId="0" fillId="0" borderId="33" xfId="0" applyNumberFormat="1" applyFill="1" applyBorder="1" applyAlignment="1">
      <alignment horizontal="center"/>
    </xf>
    <xf numFmtId="0" fontId="3" fillId="0" borderId="33" xfId="1" applyFont="1" applyBorder="1" applyAlignment="1">
      <alignment horizontal="center"/>
    </xf>
    <xf numFmtId="0" fontId="3" fillId="0" borderId="33" xfId="1" applyFont="1" applyFill="1" applyBorder="1" applyAlignment="1">
      <alignment horizontal="center"/>
    </xf>
    <xf numFmtId="10" fontId="0" fillId="0" borderId="43" xfId="0" applyNumberFormat="1" applyBorder="1"/>
    <xf numFmtId="0" fontId="0" fillId="0" borderId="5" xfId="0" applyBorder="1"/>
    <xf numFmtId="0" fontId="3" fillId="0" borderId="47" xfId="1" applyFont="1" applyBorder="1" applyAlignment="1">
      <alignment horizontal="center"/>
    </xf>
    <xf numFmtId="0" fontId="0" fillId="3" borderId="1" xfId="0" applyFill="1" applyBorder="1"/>
    <xf numFmtId="0" fontId="3" fillId="3" borderId="32" xfId="1" applyFont="1" applyFill="1" applyBorder="1" applyAlignment="1">
      <alignment horizontal="center"/>
    </xf>
    <xf numFmtId="3" fontId="0" fillId="3" borderId="2" xfId="0" applyNumberFormat="1" applyFill="1" applyBorder="1"/>
    <xf numFmtId="3" fontId="0" fillId="3" borderId="32" xfId="0" applyNumberFormat="1" applyFill="1" applyBorder="1"/>
    <xf numFmtId="3" fontId="0" fillId="3" borderId="10" xfId="0" applyNumberFormat="1" applyFill="1" applyBorder="1"/>
    <xf numFmtId="3" fontId="0" fillId="0" borderId="33" xfId="0" applyNumberFormat="1" applyFill="1" applyBorder="1"/>
    <xf numFmtId="3" fontId="0" fillId="0" borderId="50" xfId="0" applyNumberFormat="1" applyBorder="1" applyAlignment="1">
      <alignment horizontal="center"/>
    </xf>
    <xf numFmtId="3" fontId="1" fillId="0" borderId="15" xfId="0" applyNumberFormat="1" applyFont="1" applyFill="1" applyBorder="1"/>
    <xf numFmtId="0" fontId="0" fillId="7" borderId="3" xfId="0" applyFill="1" applyBorder="1"/>
    <xf numFmtId="3" fontId="19" fillId="0" borderId="0" xfId="0" applyNumberFormat="1" applyFont="1" applyFill="1" applyBorder="1"/>
    <xf numFmtId="0" fontId="0" fillId="0" borderId="0" xfId="0"/>
    <xf numFmtId="0" fontId="0" fillId="0" borderId="21" xfId="0" applyBorder="1"/>
    <xf numFmtId="0" fontId="0" fillId="0" borderId="23" xfId="0" applyBorder="1"/>
    <xf numFmtId="3" fontId="0" fillId="0" borderId="43" xfId="0" applyNumberFormat="1" applyFill="1" applyBorder="1"/>
    <xf numFmtId="3" fontId="0" fillId="0" borderId="44" xfId="0" applyNumberFormat="1" applyFill="1" applyBorder="1"/>
    <xf numFmtId="3" fontId="0" fillId="6" borderId="8" xfId="0" applyNumberFormat="1" applyFill="1" applyBorder="1"/>
    <xf numFmtId="3" fontId="19" fillId="0" borderId="25" xfId="0" applyNumberFormat="1" applyFont="1" applyFill="1" applyBorder="1"/>
    <xf numFmtId="0" fontId="0" fillId="0" borderId="3" xfId="0" applyFill="1" applyBorder="1"/>
    <xf numFmtId="3" fontId="0" fillId="0" borderId="51" xfId="0" applyNumberFormat="1" applyFill="1" applyBorder="1" applyAlignment="1">
      <alignment horizontal="center"/>
    </xf>
    <xf numFmtId="3" fontId="0" fillId="0" borderId="52" xfId="0" applyNumberFormat="1" applyFill="1" applyBorder="1"/>
    <xf numFmtId="3" fontId="1" fillId="0" borderId="43" xfId="0" applyNumberFormat="1" applyFont="1" applyBorder="1"/>
    <xf numFmtId="3" fontId="0" fillId="7" borderId="18" xfId="0" applyNumberFormat="1" applyFill="1" applyBorder="1" applyAlignment="1">
      <alignment horizontal="center"/>
    </xf>
    <xf numFmtId="3" fontId="1" fillId="7" borderId="15" xfId="0" applyNumberFormat="1" applyFont="1" applyFill="1" applyBorder="1"/>
    <xf numFmtId="0" fontId="1" fillId="8" borderId="24" xfId="0" applyFont="1" applyFill="1" applyBorder="1"/>
    <xf numFmtId="3" fontId="0" fillId="0" borderId="26" xfId="0" applyNumberFormat="1" applyFill="1" applyBorder="1" applyAlignment="1">
      <alignment horizontal="right"/>
    </xf>
    <xf numFmtId="3" fontId="0" fillId="0" borderId="42" xfId="0" applyNumberFormat="1" applyFont="1" applyFill="1" applyBorder="1" applyAlignment="1">
      <alignment horizontal="center"/>
    </xf>
    <xf numFmtId="3" fontId="0" fillId="7" borderId="26" xfId="0" applyNumberFormat="1" applyFill="1" applyBorder="1" applyAlignment="1">
      <alignment horizontal="center"/>
    </xf>
    <xf numFmtId="3" fontId="19" fillId="0" borderId="17" xfId="0" applyNumberFormat="1" applyFont="1" applyFill="1" applyBorder="1"/>
    <xf numFmtId="3" fontId="5" fillId="0" borderId="0" xfId="0" applyNumberFormat="1" applyFont="1"/>
    <xf numFmtId="10" fontId="0" fillId="7" borderId="19" xfId="0" applyNumberFormat="1" applyFill="1" applyBorder="1"/>
    <xf numFmtId="10" fontId="0" fillId="8" borderId="15" xfId="0" applyNumberFormat="1" applyFill="1" applyBorder="1"/>
    <xf numFmtId="0" fontId="1" fillId="0" borderId="16" xfId="0" applyFont="1" applyFill="1" applyBorder="1" applyAlignment="1">
      <alignment vertical="center"/>
    </xf>
    <xf numFmtId="0" fontId="19" fillId="0" borderId="0" xfId="0" applyFont="1"/>
    <xf numFmtId="3" fontId="19" fillId="0" borderId="0" xfId="0" applyNumberFormat="1" applyFont="1"/>
    <xf numFmtId="10" fontId="19" fillId="0" borderId="0" xfId="0" applyNumberFormat="1" applyFont="1"/>
    <xf numFmtId="3" fontId="0" fillId="0" borderId="15" xfId="0" applyNumberFormat="1" applyFont="1" applyFill="1" applyBorder="1" applyAlignment="1">
      <alignment horizontal="center"/>
    </xf>
    <xf numFmtId="3" fontId="1" fillId="8" borderId="15" xfId="0" applyNumberFormat="1" applyFont="1" applyFill="1" applyBorder="1"/>
    <xf numFmtId="10" fontId="5" fillId="8" borderId="23" xfId="0" applyNumberFormat="1" applyFont="1" applyFill="1" applyBorder="1"/>
    <xf numFmtId="3" fontId="0" fillId="6" borderId="44" xfId="0" applyNumberFormat="1" applyFill="1" applyBorder="1" applyAlignment="1">
      <alignment wrapText="1"/>
    </xf>
    <xf numFmtId="3" fontId="38" fillId="0" borderId="0" xfId="0" applyNumberFormat="1" applyFont="1" applyBorder="1" applyAlignment="1">
      <alignment horizontal="right"/>
    </xf>
    <xf numFmtId="0" fontId="5" fillId="0" borderId="0" xfId="0" applyFont="1"/>
    <xf numFmtId="0" fontId="0" fillId="0" borderId="0" xfId="0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0" xfId="15"/>
    <xf numFmtId="0" fontId="4" fillId="0" borderId="0" xfId="15" applyFont="1"/>
    <xf numFmtId="0" fontId="1" fillId="0" borderId="0" xfId="15" applyFont="1"/>
    <xf numFmtId="0" fontId="12" fillId="0" borderId="0" xfId="15" applyFill="1"/>
    <xf numFmtId="0" fontId="12" fillId="0" borderId="18" xfId="15" applyBorder="1" applyAlignment="1">
      <alignment horizontal="center"/>
    </xf>
    <xf numFmtId="0" fontId="12" fillId="0" borderId="19" xfId="15" applyBorder="1" applyAlignment="1">
      <alignment horizontal="center"/>
    </xf>
    <xf numFmtId="0" fontId="12" fillId="0" borderId="15" xfId="15" applyFill="1" applyBorder="1" applyAlignment="1">
      <alignment horizontal="center"/>
    </xf>
    <xf numFmtId="0" fontId="1" fillId="0" borderId="17" xfId="15" applyFont="1" applyBorder="1" applyAlignment="1">
      <alignment horizontal="center"/>
    </xf>
    <xf numFmtId="0" fontId="12" fillId="0" borderId="17" xfId="15" applyBorder="1" applyAlignment="1">
      <alignment horizontal="center"/>
    </xf>
    <xf numFmtId="0" fontId="12" fillId="2" borderId="42" xfId="15" applyFill="1" applyBorder="1" applyAlignment="1">
      <alignment horizontal="center"/>
    </xf>
    <xf numFmtId="0" fontId="12" fillId="0" borderId="15" xfId="15" applyBorder="1" applyAlignment="1">
      <alignment horizontal="center"/>
    </xf>
    <xf numFmtId="0" fontId="12" fillId="0" borderId="16" xfId="15" applyFill="1" applyBorder="1" applyAlignment="1">
      <alignment horizontal="center"/>
    </xf>
    <xf numFmtId="0" fontId="12" fillId="0" borderId="25" xfId="15" applyBorder="1"/>
    <xf numFmtId="0" fontId="12" fillId="0" borderId="17" xfId="15" applyBorder="1"/>
    <xf numFmtId="0" fontId="12" fillId="0" borderId="29" xfId="15" applyFill="1" applyBorder="1" applyAlignment="1">
      <alignment horizontal="center"/>
    </xf>
    <xf numFmtId="0" fontId="12" fillId="0" borderId="42" xfId="15" applyFill="1" applyBorder="1" applyAlignment="1">
      <alignment horizontal="center"/>
    </xf>
    <xf numFmtId="0" fontId="12" fillId="0" borderId="1" xfId="15" applyBorder="1" applyAlignment="1">
      <alignment horizontal="center"/>
    </xf>
    <xf numFmtId="0" fontId="12" fillId="0" borderId="39" xfId="15" applyBorder="1" applyAlignment="1">
      <alignment horizontal="center"/>
    </xf>
    <xf numFmtId="0" fontId="12" fillId="0" borderId="2" xfId="15" applyBorder="1" applyAlignment="1">
      <alignment horizontal="center"/>
    </xf>
    <xf numFmtId="3" fontId="12" fillId="0" borderId="42" xfId="15" applyNumberFormat="1" applyFont="1" applyFill="1" applyBorder="1" applyAlignment="1">
      <alignment horizontal="center"/>
    </xf>
    <xf numFmtId="3" fontId="12" fillId="0" borderId="10" xfId="15" applyNumberFormat="1" applyFont="1" applyFill="1" applyBorder="1" applyAlignment="1">
      <alignment horizontal="center"/>
    </xf>
    <xf numFmtId="0" fontId="12" fillId="0" borderId="14" xfId="15" applyFill="1" applyBorder="1" applyAlignment="1">
      <alignment horizontal="center"/>
    </xf>
    <xf numFmtId="0" fontId="12" fillId="0" borderId="11" xfId="15" applyFill="1" applyBorder="1" applyAlignment="1">
      <alignment horizontal="center"/>
    </xf>
    <xf numFmtId="0" fontId="12" fillId="0" borderId="11" xfId="15" applyBorder="1" applyAlignment="1">
      <alignment horizontal="center"/>
    </xf>
    <xf numFmtId="0" fontId="12" fillId="2" borderId="44" xfId="15" applyFill="1" applyBorder="1" applyAlignment="1">
      <alignment horizontal="center"/>
    </xf>
    <xf numFmtId="0" fontId="12" fillId="0" borderId="46" xfId="15" applyBorder="1" applyAlignment="1">
      <alignment horizontal="center"/>
    </xf>
    <xf numFmtId="3" fontId="12" fillId="0" borderId="49" xfId="15" applyNumberFormat="1" applyFont="1" applyFill="1" applyBorder="1" applyAlignment="1">
      <alignment horizontal="center"/>
    </xf>
    <xf numFmtId="0" fontId="12" fillId="0" borderId="7" xfId="15" applyFill="1" applyBorder="1" applyAlignment="1">
      <alignment horizontal="center"/>
    </xf>
    <xf numFmtId="0" fontId="12" fillId="0" borderId="30" xfId="15" applyBorder="1"/>
    <xf numFmtId="0" fontId="12" fillId="0" borderId="0" xfId="15" applyBorder="1"/>
    <xf numFmtId="0" fontId="12" fillId="0" borderId="10" xfId="15" applyBorder="1" applyAlignment="1">
      <alignment horizontal="center"/>
    </xf>
    <xf numFmtId="0" fontId="12" fillId="0" borderId="12" xfId="15" applyBorder="1" applyAlignment="1">
      <alignment horizontal="center"/>
    </xf>
    <xf numFmtId="0" fontId="12" fillId="0" borderId="9" xfId="15" applyBorder="1"/>
    <xf numFmtId="0" fontId="12" fillId="0" borderId="22" xfId="15" applyBorder="1" applyAlignment="1">
      <alignment horizontal="center"/>
    </xf>
    <xf numFmtId="9" fontId="12" fillId="0" borderId="13" xfId="15" applyNumberFormat="1" applyFill="1" applyBorder="1" applyAlignment="1">
      <alignment horizontal="center"/>
    </xf>
    <xf numFmtId="0" fontId="20" fillId="0" borderId="6" xfId="15" applyFont="1" applyBorder="1" applyAlignment="1">
      <alignment horizontal="center" wrapText="1"/>
    </xf>
    <xf numFmtId="0" fontId="12" fillId="0" borderId="8" xfId="15" applyBorder="1"/>
    <xf numFmtId="0" fontId="12" fillId="0" borderId="53" xfId="15" applyBorder="1" applyAlignment="1">
      <alignment horizontal="center"/>
    </xf>
    <xf numFmtId="0" fontId="12" fillId="0" borderId="6" xfId="15" applyFill="1" applyBorder="1" applyAlignment="1">
      <alignment horizontal="center"/>
    </xf>
    <xf numFmtId="0" fontId="12" fillId="0" borderId="24" xfId="15" applyBorder="1"/>
    <xf numFmtId="0" fontId="12" fillId="0" borderId="31" xfId="15" applyBorder="1"/>
    <xf numFmtId="0" fontId="12" fillId="0" borderId="23" xfId="15" applyBorder="1"/>
    <xf numFmtId="0" fontId="16" fillId="0" borderId="18" xfId="15" applyFont="1" applyBorder="1" applyAlignment="1">
      <alignment horizontal="center" wrapText="1"/>
    </xf>
    <xf numFmtId="3" fontId="19" fillId="0" borderId="17" xfId="15" applyNumberFormat="1" applyFont="1" applyFill="1" applyBorder="1"/>
    <xf numFmtId="3" fontId="19" fillId="0" borderId="25" xfId="15" applyNumberFormat="1" applyFont="1" applyFill="1" applyBorder="1"/>
    <xf numFmtId="3" fontId="12" fillId="6" borderId="44" xfId="15" applyNumberFormat="1" applyFill="1" applyBorder="1"/>
    <xf numFmtId="3" fontId="12" fillId="6" borderId="8" xfId="15" applyNumberFormat="1" applyFill="1" applyBorder="1"/>
    <xf numFmtId="9" fontId="12" fillId="0" borderId="17" xfId="15" applyNumberFormat="1" applyFill="1" applyBorder="1" applyAlignment="1">
      <alignment horizontal="center"/>
    </xf>
    <xf numFmtId="3" fontId="1" fillId="0" borderId="15" xfId="15" applyNumberFormat="1" applyFont="1" applyFill="1" applyBorder="1"/>
    <xf numFmtId="0" fontId="12" fillId="0" borderId="44" xfId="15" applyBorder="1"/>
    <xf numFmtId="0" fontId="12" fillId="0" borderId="31" xfId="15" applyBorder="1" applyAlignment="1">
      <alignment horizontal="center"/>
    </xf>
    <xf numFmtId="0" fontId="12" fillId="0" borderId="36" xfId="15" applyFill="1" applyBorder="1" applyAlignment="1">
      <alignment horizontal="center"/>
    </xf>
    <xf numFmtId="0" fontId="1" fillId="8" borderId="24" xfId="15" applyFont="1" applyFill="1" applyBorder="1"/>
    <xf numFmtId="0" fontId="3" fillId="8" borderId="31" xfId="60" applyFont="1" applyFill="1" applyBorder="1" applyAlignment="1">
      <alignment horizontal="center"/>
    </xf>
    <xf numFmtId="3" fontId="12" fillId="8" borderId="18" xfId="15" applyNumberFormat="1" applyFill="1" applyBorder="1" applyAlignment="1">
      <alignment horizontal="center"/>
    </xf>
    <xf numFmtId="3" fontId="12" fillId="8" borderId="19" xfId="15" applyNumberFormat="1" applyFill="1" applyBorder="1" applyAlignment="1">
      <alignment horizontal="center"/>
    </xf>
    <xf numFmtId="3" fontId="12" fillId="8" borderId="17" xfId="15" applyNumberFormat="1" applyFill="1" applyBorder="1" applyAlignment="1">
      <alignment horizontal="right"/>
    </xf>
    <xf numFmtId="3" fontId="12" fillId="8" borderId="26" xfId="15" applyNumberFormat="1" applyFill="1" applyBorder="1" applyAlignment="1">
      <alignment horizontal="center"/>
    </xf>
    <xf numFmtId="3" fontId="12" fillId="8" borderId="54" xfId="15" applyNumberFormat="1" applyFill="1" applyBorder="1" applyAlignment="1">
      <alignment horizontal="center"/>
    </xf>
    <xf numFmtId="166" fontId="12" fillId="8" borderId="23" xfId="15" applyNumberFormat="1" applyFill="1" applyBorder="1"/>
    <xf numFmtId="3" fontId="12" fillId="0" borderId="23" xfId="15" applyNumberFormat="1" applyFill="1" applyBorder="1"/>
    <xf numFmtId="3" fontId="1" fillId="8" borderId="44" xfId="15" applyNumberFormat="1" applyFont="1" applyFill="1" applyBorder="1"/>
    <xf numFmtId="3" fontId="6" fillId="0" borderId="23" xfId="15" applyNumberFormat="1" applyFont="1" applyBorder="1"/>
    <xf numFmtId="3" fontId="12" fillId="0" borderId="15" xfId="15" applyNumberFormat="1" applyBorder="1"/>
    <xf numFmtId="3" fontId="12" fillId="0" borderId="55" xfId="15" applyNumberFormat="1" applyFill="1" applyBorder="1"/>
    <xf numFmtId="3" fontId="12" fillId="0" borderId="18" xfId="15" applyNumberFormat="1" applyBorder="1" applyAlignment="1">
      <alignment horizontal="center"/>
    </xf>
    <xf numFmtId="3" fontId="12" fillId="0" borderId="19" xfId="15" applyNumberFormat="1" applyFill="1" applyBorder="1" applyAlignment="1">
      <alignment horizontal="center"/>
    </xf>
    <xf numFmtId="3" fontId="12" fillId="0" borderId="16" xfId="15" applyNumberFormat="1" applyBorder="1"/>
    <xf numFmtId="3" fontId="12" fillId="0" borderId="17" xfId="15" applyNumberFormat="1" applyBorder="1" applyAlignment="1"/>
    <xf numFmtId="3" fontId="12" fillId="0" borderId="17" xfId="15" applyNumberFormat="1" applyFill="1" applyBorder="1"/>
    <xf numFmtId="10" fontId="12" fillId="0" borderId="15" xfId="15" applyNumberFormat="1" applyBorder="1"/>
    <xf numFmtId="3" fontId="12" fillId="0" borderId="50" xfId="15" applyNumberFormat="1" applyBorder="1" applyAlignment="1">
      <alignment horizontal="center"/>
    </xf>
    <xf numFmtId="3" fontId="12" fillId="0" borderId="52" xfId="15" applyNumberFormat="1" applyBorder="1" applyAlignment="1">
      <alignment horizontal="center"/>
    </xf>
    <xf numFmtId="3" fontId="12" fillId="0" borderId="21" xfId="15" applyNumberFormat="1" applyFill="1" applyBorder="1" applyAlignment="1">
      <alignment horizontal="right"/>
    </xf>
    <xf numFmtId="3" fontId="12" fillId="0" borderId="51" xfId="15" applyNumberFormat="1" applyFill="1" applyBorder="1" applyAlignment="1">
      <alignment horizontal="center"/>
    </xf>
    <xf numFmtId="3" fontId="12" fillId="0" borderId="30" xfId="15" applyNumberFormat="1" applyBorder="1" applyAlignment="1">
      <alignment horizontal="center"/>
    </xf>
    <xf numFmtId="3" fontId="12" fillId="0" borderId="52" xfId="15" applyNumberFormat="1" applyFill="1" applyBorder="1"/>
    <xf numFmtId="3" fontId="12" fillId="0" borderId="21" xfId="15" applyNumberFormat="1" applyFill="1" applyBorder="1"/>
    <xf numFmtId="3" fontId="1" fillId="0" borderId="43" xfId="15" applyNumberFormat="1" applyFont="1" applyBorder="1"/>
    <xf numFmtId="3" fontId="12" fillId="0" borderId="11" xfId="15" applyNumberFormat="1" applyBorder="1"/>
    <xf numFmtId="3" fontId="12" fillId="0" borderId="43" xfId="15" applyNumberFormat="1" applyBorder="1"/>
    <xf numFmtId="3" fontId="12" fillId="0" borderId="30" xfId="15" applyNumberFormat="1" applyBorder="1"/>
    <xf numFmtId="3" fontId="12" fillId="0" borderId="52" xfId="15" applyNumberFormat="1" applyFill="1" applyBorder="1" applyAlignment="1">
      <alignment horizontal="center"/>
    </xf>
    <xf numFmtId="3" fontId="12" fillId="0" borderId="21" xfId="15" applyNumberFormat="1" applyBorder="1" applyAlignment="1"/>
    <xf numFmtId="0" fontId="12" fillId="0" borderId="43" xfId="15" applyBorder="1"/>
    <xf numFmtId="3" fontId="20" fillId="7" borderId="18" xfId="15" applyNumberFormat="1" applyFont="1" applyFill="1" applyBorder="1" applyAlignment="1">
      <alignment horizontal="center" vertical="center" wrapText="1"/>
    </xf>
    <xf numFmtId="3" fontId="12" fillId="7" borderId="19" xfId="15" applyNumberFormat="1" applyFill="1" applyBorder="1" applyAlignment="1">
      <alignment horizontal="center"/>
    </xf>
    <xf numFmtId="3" fontId="12" fillId="7" borderId="17" xfId="15" applyNumberFormat="1" applyFill="1" applyBorder="1" applyAlignment="1">
      <alignment horizontal="right"/>
    </xf>
    <xf numFmtId="3" fontId="12" fillId="7" borderId="18" xfId="15" applyNumberFormat="1" applyFill="1" applyBorder="1" applyAlignment="1">
      <alignment horizontal="center"/>
    </xf>
    <xf numFmtId="9" fontId="12" fillId="7" borderId="17" xfId="15" applyNumberFormat="1" applyFill="1" applyBorder="1" applyAlignment="1">
      <alignment horizontal="right"/>
    </xf>
    <xf numFmtId="166" fontId="12" fillId="7" borderId="19" xfId="15" applyNumberFormat="1" applyFill="1" applyBorder="1"/>
    <xf numFmtId="3" fontId="1" fillId="7" borderId="15" xfId="15" applyNumberFormat="1" applyFont="1" applyFill="1" applyBorder="1"/>
    <xf numFmtId="3" fontId="12" fillId="0" borderId="8" xfId="15" applyNumberFormat="1" applyFill="1" applyBorder="1"/>
    <xf numFmtId="3" fontId="12" fillId="0" borderId="5" xfId="15" applyNumberFormat="1" applyFill="1" applyBorder="1" applyAlignment="1">
      <alignment horizontal="center"/>
    </xf>
    <xf numFmtId="3" fontId="12" fillId="0" borderId="6" xfId="15" applyNumberFormat="1" applyFill="1" applyBorder="1" applyAlignment="1">
      <alignment horizontal="center"/>
    </xf>
    <xf numFmtId="0" fontId="12" fillId="0" borderId="53" xfId="15" applyFill="1" applyBorder="1"/>
    <xf numFmtId="3" fontId="12" fillId="0" borderId="13" xfId="15" applyNumberFormat="1" applyFill="1" applyBorder="1" applyAlignment="1"/>
    <xf numFmtId="3" fontId="12" fillId="0" borderId="13" xfId="15" applyNumberFormat="1" applyFill="1" applyBorder="1"/>
    <xf numFmtId="10" fontId="12" fillId="0" borderId="8" xfId="15" applyNumberFormat="1" applyFill="1" applyBorder="1"/>
    <xf numFmtId="0" fontId="6" fillId="0" borderId="0" xfId="15" applyFont="1"/>
    <xf numFmtId="3" fontId="6" fillId="7" borderId="50" xfId="15" applyNumberFormat="1" applyFont="1" applyFill="1" applyBorder="1" applyAlignment="1">
      <alignment horizontal="right"/>
    </xf>
    <xf numFmtId="3" fontId="12" fillId="7" borderId="52" xfId="15" applyNumberFormat="1" applyFill="1" applyBorder="1" applyAlignment="1">
      <alignment horizontal="center"/>
    </xf>
    <xf numFmtId="3" fontId="12" fillId="7" borderId="29" xfId="15" applyNumberFormat="1" applyFill="1" applyBorder="1" applyAlignment="1">
      <alignment horizontal="right"/>
    </xf>
    <xf numFmtId="3" fontId="12" fillId="7" borderId="26" xfId="15" applyNumberFormat="1" applyFill="1" applyBorder="1" applyAlignment="1">
      <alignment horizontal="center"/>
    </xf>
    <xf numFmtId="3" fontId="12" fillId="7" borderId="36" xfId="15" applyNumberFormat="1" applyFill="1" applyBorder="1" applyAlignment="1">
      <alignment horizontal="center"/>
    </xf>
    <xf numFmtId="3" fontId="12" fillId="7" borderId="21" xfId="15" applyNumberFormat="1" applyFill="1" applyBorder="1"/>
    <xf numFmtId="3" fontId="12" fillId="7" borderId="52" xfId="15" applyNumberFormat="1" applyFill="1" applyBorder="1"/>
    <xf numFmtId="3" fontId="1" fillId="7" borderId="43" xfId="15" applyNumberFormat="1" applyFont="1" applyFill="1" applyBorder="1"/>
    <xf numFmtId="3" fontId="12" fillId="0" borderId="43" xfId="15" applyNumberFormat="1" applyFill="1" applyBorder="1"/>
    <xf numFmtId="3" fontId="12" fillId="0" borderId="30" xfId="15" applyNumberFormat="1" applyFill="1" applyBorder="1"/>
    <xf numFmtId="3" fontId="12" fillId="0" borderId="72" xfId="15" applyNumberFormat="1" applyFill="1" applyBorder="1" applyAlignment="1">
      <alignment horizontal="center"/>
    </xf>
    <xf numFmtId="0" fontId="12" fillId="0" borderId="0" xfId="15" applyFill="1" applyBorder="1"/>
    <xf numFmtId="3" fontId="12" fillId="0" borderId="21" xfId="15" applyNumberFormat="1" applyFill="1" applyBorder="1" applyAlignment="1"/>
    <xf numFmtId="10" fontId="12" fillId="0" borderId="43" xfId="15" applyNumberFormat="1" applyFill="1" applyBorder="1"/>
    <xf numFmtId="3" fontId="12" fillId="0" borderId="25" xfId="15" applyNumberFormat="1" applyFill="1" applyBorder="1"/>
    <xf numFmtId="3" fontId="12" fillId="0" borderId="25" xfId="15" applyNumberFormat="1" applyFill="1" applyBorder="1" applyAlignment="1">
      <alignment horizontal="center"/>
    </xf>
    <xf numFmtId="0" fontId="12" fillId="0" borderId="25" xfId="15" applyFill="1" applyBorder="1"/>
    <xf numFmtId="3" fontId="12" fillId="0" borderId="25" xfId="15" applyNumberFormat="1" applyFill="1" applyBorder="1" applyAlignment="1"/>
    <xf numFmtId="3" fontId="12" fillId="0" borderId="15" xfId="15" applyNumberFormat="1" applyFill="1" applyBorder="1"/>
    <xf numFmtId="10" fontId="12" fillId="0" borderId="17" xfId="15" applyNumberFormat="1" applyFill="1" applyBorder="1"/>
    <xf numFmtId="3" fontId="12" fillId="0" borderId="26" xfId="15" applyNumberFormat="1" applyFill="1" applyBorder="1" applyAlignment="1">
      <alignment horizontal="right"/>
    </xf>
    <xf numFmtId="3" fontId="12" fillId="2" borderId="24" xfId="15" applyNumberFormat="1" applyFill="1" applyBorder="1" applyAlignment="1">
      <alignment horizontal="right"/>
    </xf>
    <xf numFmtId="3" fontId="12" fillId="2" borderId="36" xfId="15" applyNumberFormat="1" applyFill="1" applyBorder="1"/>
    <xf numFmtId="3" fontId="1" fillId="0" borderId="44" xfId="15" applyNumberFormat="1" applyFont="1" applyFill="1" applyBorder="1"/>
    <xf numFmtId="3" fontId="12" fillId="0" borderId="44" xfId="15" applyNumberFormat="1" applyFill="1" applyBorder="1"/>
    <xf numFmtId="3" fontId="12" fillId="0" borderId="71" xfId="15" applyNumberFormat="1" applyFill="1" applyBorder="1" applyAlignment="1">
      <alignment horizontal="center"/>
    </xf>
    <xf numFmtId="3" fontId="12" fillId="0" borderId="36" xfId="15" applyNumberFormat="1" applyFill="1" applyBorder="1" applyAlignment="1">
      <alignment horizontal="center"/>
    </xf>
    <xf numFmtId="3" fontId="12" fillId="0" borderId="24" xfId="15" applyNumberFormat="1" applyFill="1" applyBorder="1"/>
    <xf numFmtId="0" fontId="12" fillId="0" borderId="31" xfId="15" applyFill="1" applyBorder="1"/>
    <xf numFmtId="3" fontId="12" fillId="0" borderId="23" xfId="15" applyNumberFormat="1" applyFill="1" applyBorder="1" applyAlignment="1"/>
    <xf numFmtId="0" fontId="12" fillId="0" borderId="44" xfId="15" applyFill="1" applyBorder="1"/>
    <xf numFmtId="0" fontId="12" fillId="0" borderId="0" xfId="15" applyAlignment="1">
      <alignment wrapText="1"/>
    </xf>
    <xf numFmtId="0" fontId="12" fillId="0" borderId="0" xfId="15" applyFont="1" applyAlignment="1">
      <alignment wrapText="1"/>
    </xf>
    <xf numFmtId="0" fontId="12" fillId="3" borderId="1" xfId="15" applyFill="1" applyBorder="1"/>
    <xf numFmtId="0" fontId="3" fillId="3" borderId="32" xfId="60" applyFont="1" applyFill="1" applyBorder="1" applyAlignment="1">
      <alignment horizontal="center"/>
    </xf>
    <xf numFmtId="3" fontId="12" fillId="3" borderId="1" xfId="15" applyNumberFormat="1" applyFill="1" applyBorder="1"/>
    <xf numFmtId="3" fontId="12" fillId="3" borderId="2" xfId="15" applyNumberFormat="1" applyFill="1" applyBorder="1"/>
    <xf numFmtId="3" fontId="12" fillId="3" borderId="14" xfId="15" applyNumberFormat="1" applyFill="1" applyBorder="1"/>
    <xf numFmtId="3" fontId="12" fillId="3" borderId="32" xfId="15" applyNumberFormat="1" applyFill="1" applyBorder="1"/>
    <xf numFmtId="3" fontId="1" fillId="3" borderId="10" xfId="15" applyNumberFormat="1" applyFont="1" applyFill="1" applyBorder="1"/>
    <xf numFmtId="3" fontId="12" fillId="2" borderId="15" xfId="15" applyNumberFormat="1" applyFill="1" applyBorder="1"/>
    <xf numFmtId="3" fontId="12" fillId="3" borderId="10" xfId="15" applyNumberFormat="1" applyFill="1" applyBorder="1"/>
    <xf numFmtId="0" fontId="12" fillId="3" borderId="38" xfId="15" applyFill="1" applyBorder="1"/>
    <xf numFmtId="3" fontId="12" fillId="3" borderId="27" xfId="15" applyNumberFormat="1" applyFill="1" applyBorder="1"/>
    <xf numFmtId="3" fontId="12" fillId="3" borderId="28" xfId="15" applyNumberFormat="1" applyFill="1" applyBorder="1"/>
    <xf numFmtId="3" fontId="12" fillId="3" borderId="29" xfId="15" applyNumberFormat="1" applyFill="1" applyBorder="1"/>
    <xf numFmtId="10" fontId="12" fillId="3" borderId="10" xfId="15" applyNumberFormat="1" applyFill="1" applyBorder="1"/>
    <xf numFmtId="0" fontId="12" fillId="5" borderId="16" xfId="15" applyFill="1" applyBorder="1"/>
    <xf numFmtId="0" fontId="12" fillId="5" borderId="25" xfId="15" applyFill="1" applyBorder="1"/>
    <xf numFmtId="0" fontId="12" fillId="5" borderId="17" xfId="15" applyFill="1" applyBorder="1"/>
    <xf numFmtId="0" fontId="12" fillId="0" borderId="3" xfId="15" applyBorder="1"/>
    <xf numFmtId="0" fontId="3" fillId="0" borderId="33" xfId="60" applyFont="1" applyBorder="1" applyAlignment="1">
      <alignment horizontal="center"/>
    </xf>
    <xf numFmtId="3" fontId="12" fillId="0" borderId="3" xfId="15" applyNumberFormat="1" applyBorder="1"/>
    <xf numFmtId="3" fontId="12" fillId="0" borderId="4" xfId="15" applyNumberFormat="1" applyBorder="1"/>
    <xf numFmtId="3" fontId="12" fillId="0" borderId="12" xfId="15" applyNumberFormat="1" applyBorder="1"/>
    <xf numFmtId="3" fontId="12" fillId="0" borderId="34" xfId="15" applyNumberFormat="1" applyBorder="1"/>
    <xf numFmtId="3" fontId="12" fillId="0" borderId="33" xfId="15" applyNumberFormat="1" applyBorder="1"/>
    <xf numFmtId="3" fontId="1" fillId="0" borderId="9" xfId="15" applyNumberFormat="1" applyFont="1" applyBorder="1"/>
    <xf numFmtId="3" fontId="12" fillId="0" borderId="9" xfId="15" applyNumberFormat="1" applyBorder="1"/>
    <xf numFmtId="3" fontId="12" fillId="0" borderId="9" xfId="15" applyNumberFormat="1" applyFill="1" applyBorder="1"/>
    <xf numFmtId="3" fontId="12" fillId="0" borderId="22" xfId="15" applyNumberFormat="1" applyBorder="1"/>
    <xf numFmtId="3" fontId="12" fillId="0" borderId="0" xfId="15" applyNumberFormat="1" applyBorder="1"/>
    <xf numFmtId="3" fontId="12" fillId="0" borderId="21" xfId="15" applyNumberFormat="1" applyBorder="1"/>
    <xf numFmtId="10" fontId="12" fillId="0" borderId="43" xfId="15" applyNumberFormat="1" applyBorder="1"/>
    <xf numFmtId="3" fontId="12" fillId="0" borderId="0" xfId="15" applyNumberFormat="1"/>
    <xf numFmtId="3" fontId="6" fillId="0" borderId="0" xfId="15" applyNumberFormat="1" applyFont="1"/>
    <xf numFmtId="0" fontId="12" fillId="0" borderId="3" xfId="15" applyFill="1" applyBorder="1"/>
    <xf numFmtId="0" fontId="3" fillId="0" borderId="33" xfId="60" applyFont="1" applyFill="1" applyBorder="1" applyAlignment="1">
      <alignment horizontal="center"/>
    </xf>
    <xf numFmtId="3" fontId="12" fillId="0" borderId="3" xfId="15" applyNumberFormat="1" applyFill="1" applyBorder="1"/>
    <xf numFmtId="3" fontId="5" fillId="0" borderId="4" xfId="15" applyNumberFormat="1" applyFont="1" applyFill="1" applyBorder="1"/>
    <xf numFmtId="3" fontId="12" fillId="0" borderId="12" xfId="15" applyNumberFormat="1" applyFill="1" applyBorder="1"/>
    <xf numFmtId="3" fontId="12" fillId="0" borderId="34" xfId="15" applyNumberFormat="1" applyFill="1" applyBorder="1"/>
    <xf numFmtId="3" fontId="12" fillId="0" borderId="33" xfId="15" applyNumberFormat="1" applyFill="1" applyBorder="1"/>
    <xf numFmtId="3" fontId="12" fillId="0" borderId="4" xfId="15" applyNumberFormat="1" applyFill="1" applyBorder="1"/>
    <xf numFmtId="3" fontId="1" fillId="0" borderId="9" xfId="15" applyNumberFormat="1" applyFont="1" applyFill="1" applyBorder="1"/>
    <xf numFmtId="3" fontId="12" fillId="0" borderId="11" xfId="15" applyNumberFormat="1" applyFill="1" applyBorder="1"/>
    <xf numFmtId="0" fontId="12" fillId="0" borderId="5" xfId="15" applyBorder="1"/>
    <xf numFmtId="0" fontId="3" fillId="0" borderId="47" xfId="60" applyFont="1" applyBorder="1" applyAlignment="1">
      <alignment horizontal="center"/>
    </xf>
    <xf numFmtId="3" fontId="12" fillId="0" borderId="5" xfId="15" applyNumberFormat="1" applyBorder="1"/>
    <xf numFmtId="3" fontId="5" fillId="0" borderId="6" xfId="15" applyNumberFormat="1" applyFont="1" applyBorder="1"/>
    <xf numFmtId="3" fontId="12" fillId="0" borderId="13" xfId="15" applyNumberFormat="1" applyBorder="1"/>
    <xf numFmtId="3" fontId="12" fillId="0" borderId="26" xfId="15" applyNumberFormat="1" applyBorder="1"/>
    <xf numFmtId="3" fontId="12" fillId="0" borderId="47" xfId="15" applyNumberFormat="1" applyBorder="1"/>
    <xf numFmtId="3" fontId="12" fillId="0" borderId="6" xfId="15" applyNumberFormat="1" applyBorder="1"/>
    <xf numFmtId="3" fontId="1" fillId="0" borderId="8" xfId="15" applyNumberFormat="1" applyFont="1" applyBorder="1"/>
    <xf numFmtId="3" fontId="12" fillId="0" borderId="23" xfId="15" applyNumberFormat="1" applyBorder="1"/>
    <xf numFmtId="3" fontId="12" fillId="0" borderId="8" xfId="15" applyNumberFormat="1" applyBorder="1"/>
    <xf numFmtId="3" fontId="12" fillId="0" borderId="68" xfId="15" applyNumberFormat="1" applyBorder="1"/>
    <xf numFmtId="3" fontId="12" fillId="0" borderId="24" xfId="15" applyNumberFormat="1" applyBorder="1"/>
    <xf numFmtId="3" fontId="12" fillId="0" borderId="31" xfId="15" applyNumberFormat="1" applyBorder="1"/>
    <xf numFmtId="3" fontId="5" fillId="0" borderId="23" xfId="15" applyNumberFormat="1" applyFont="1" applyBorder="1"/>
    <xf numFmtId="10" fontId="5" fillId="0" borderId="44" xfId="15" applyNumberFormat="1" applyFont="1" applyBorder="1"/>
    <xf numFmtId="3" fontId="12" fillId="3" borderId="38" xfId="15" applyNumberFormat="1" applyFill="1" applyBorder="1"/>
    <xf numFmtId="3" fontId="5" fillId="0" borderId="21" xfId="15" applyNumberFormat="1" applyFont="1" applyBorder="1"/>
    <xf numFmtId="10" fontId="5" fillId="0" borderId="43" xfId="15" applyNumberFormat="1" applyFont="1" applyBorder="1"/>
    <xf numFmtId="3" fontId="36" fillId="0" borderId="0" xfId="15" applyNumberFormat="1" applyFont="1"/>
    <xf numFmtId="0" fontId="36" fillId="0" borderId="0" xfId="15" applyFont="1"/>
    <xf numFmtId="3" fontId="5" fillId="0" borderId="4" xfId="15" applyNumberFormat="1" applyFont="1" applyBorder="1"/>
    <xf numFmtId="3" fontId="5" fillId="0" borderId="33" xfId="15" applyNumberFormat="1" applyFont="1" applyFill="1" applyBorder="1"/>
    <xf numFmtId="3" fontId="12" fillId="0" borderId="47" xfId="15" applyNumberFormat="1" applyFill="1" applyBorder="1"/>
    <xf numFmtId="3" fontId="12" fillId="0" borderId="6" xfId="15" applyNumberFormat="1" applyFill="1" applyBorder="1"/>
    <xf numFmtId="10" fontId="12" fillId="0" borderId="44" xfId="15" applyNumberFormat="1" applyBorder="1"/>
    <xf numFmtId="3" fontId="12" fillId="3" borderId="46" xfId="15" applyNumberFormat="1" applyFill="1" applyBorder="1"/>
    <xf numFmtId="3" fontId="15" fillId="0" borderId="21" xfId="15" applyNumberFormat="1" applyFont="1" applyBorder="1"/>
    <xf numFmtId="3" fontId="6" fillId="0" borderId="4" xfId="15" applyNumberFormat="1" applyFont="1" applyBorder="1"/>
    <xf numFmtId="3" fontId="6" fillId="0" borderId="6" xfId="15" applyNumberFormat="1" applyFont="1" applyBorder="1"/>
    <xf numFmtId="3" fontId="12" fillId="0" borderId="70" xfId="15" applyNumberFormat="1" applyFill="1" applyBorder="1"/>
    <xf numFmtId="3" fontId="5" fillId="3" borderId="10" xfId="15" applyNumberFormat="1" applyFont="1" applyFill="1" applyBorder="1"/>
    <xf numFmtId="3" fontId="5" fillId="0" borderId="0" xfId="15" applyNumberFormat="1" applyFont="1"/>
    <xf numFmtId="3" fontId="5" fillId="0" borderId="3" xfId="15" applyNumberFormat="1" applyFont="1" applyFill="1" applyBorder="1"/>
    <xf numFmtId="3" fontId="6" fillId="0" borderId="4" xfId="15" applyNumberFormat="1" applyFont="1" applyFill="1" applyBorder="1"/>
    <xf numFmtId="3" fontId="14" fillId="0" borderId="0" xfId="15" applyNumberFormat="1" applyFont="1"/>
    <xf numFmtId="0" fontId="15" fillId="0" borderId="0" xfId="15" applyFont="1"/>
    <xf numFmtId="3" fontId="6" fillId="0" borderId="21" xfId="15" applyNumberFormat="1" applyFont="1" applyBorder="1"/>
    <xf numFmtId="10" fontId="6" fillId="0" borderId="43" xfId="15" applyNumberFormat="1" applyFont="1" applyBorder="1"/>
    <xf numFmtId="10" fontId="6" fillId="0" borderId="44" xfId="15" applyNumberFormat="1" applyFont="1" applyBorder="1"/>
    <xf numFmtId="3" fontId="5" fillId="0" borderId="3" xfId="15" applyNumberFormat="1" applyFont="1" applyBorder="1"/>
    <xf numFmtId="3" fontId="5" fillId="0" borderId="12" xfId="15" applyNumberFormat="1" applyFont="1" applyFill="1" applyBorder="1"/>
    <xf numFmtId="3" fontId="17" fillId="0" borderId="9" xfId="15" applyNumberFormat="1" applyFont="1" applyBorder="1"/>
    <xf numFmtId="3" fontId="7" fillId="0" borderId="30" xfId="15" applyNumberFormat="1" applyFont="1" applyBorder="1"/>
    <xf numFmtId="3" fontId="7" fillId="0" borderId="0" xfId="15" applyNumberFormat="1" applyFont="1" applyBorder="1"/>
    <xf numFmtId="3" fontId="7" fillId="0" borderId="21" xfId="15" applyNumberFormat="1" applyFont="1" applyBorder="1"/>
    <xf numFmtId="3" fontId="14" fillId="0" borderId="21" xfId="15" applyNumberFormat="1" applyFont="1" applyBorder="1"/>
    <xf numFmtId="3" fontId="7" fillId="0" borderId="24" xfId="15" applyNumberFormat="1" applyFont="1" applyBorder="1"/>
    <xf numFmtId="3" fontId="7" fillId="0" borderId="31" xfId="15" applyNumberFormat="1" applyFont="1" applyBorder="1"/>
    <xf numFmtId="3" fontId="7" fillId="0" borderId="23" xfId="15" applyNumberFormat="1" applyFont="1" applyBorder="1"/>
    <xf numFmtId="3" fontId="7" fillId="3" borderId="27" xfId="15" applyNumberFormat="1" applyFont="1" applyFill="1" applyBorder="1"/>
    <xf numFmtId="3" fontId="7" fillId="3" borderId="28" xfId="15" applyNumberFormat="1" applyFont="1" applyFill="1" applyBorder="1"/>
    <xf numFmtId="3" fontId="7" fillId="3" borderId="29" xfId="15" applyNumberFormat="1" applyFont="1" applyFill="1" applyBorder="1"/>
    <xf numFmtId="3" fontId="7" fillId="3" borderId="10" xfId="15" applyNumberFormat="1" applyFont="1" applyFill="1" applyBorder="1"/>
    <xf numFmtId="3" fontId="7" fillId="0" borderId="0" xfId="15" applyNumberFormat="1" applyFont="1" applyFill="1" applyBorder="1"/>
    <xf numFmtId="3" fontId="15" fillId="0" borderId="23" xfId="15" applyNumberFormat="1" applyFont="1" applyBorder="1"/>
    <xf numFmtId="0" fontId="12" fillId="3" borderId="34" xfId="15" applyFill="1" applyBorder="1"/>
    <xf numFmtId="0" fontId="3" fillId="3" borderId="45" xfId="60" applyFont="1" applyFill="1" applyBorder="1" applyAlignment="1">
      <alignment horizontal="center"/>
    </xf>
    <xf numFmtId="3" fontId="12" fillId="3" borderId="34" xfId="15" applyNumberFormat="1" applyFill="1" applyBorder="1"/>
    <xf numFmtId="3" fontId="12" fillId="3" borderId="7" xfId="15" applyNumberFormat="1" applyFill="1" applyBorder="1"/>
    <xf numFmtId="3" fontId="12" fillId="3" borderId="11" xfId="15" applyNumberFormat="1" applyFill="1" applyBorder="1"/>
    <xf numFmtId="3" fontId="12" fillId="3" borderId="45" xfId="15" applyNumberFormat="1" applyFill="1" applyBorder="1"/>
    <xf numFmtId="3" fontId="1" fillId="3" borderId="46" xfId="15" applyNumberFormat="1" applyFont="1" applyFill="1" applyBorder="1"/>
    <xf numFmtId="3" fontId="12" fillId="0" borderId="0" xfId="15" applyNumberFormat="1" applyFill="1" applyBorder="1"/>
    <xf numFmtId="3" fontId="12" fillId="3" borderId="69" xfId="15" applyNumberFormat="1" applyFill="1" applyBorder="1"/>
    <xf numFmtId="3" fontId="7" fillId="3" borderId="30" xfId="15" applyNumberFormat="1" applyFont="1" applyFill="1" applyBorder="1"/>
    <xf numFmtId="3" fontId="7" fillId="3" borderId="0" xfId="15" applyNumberFormat="1" applyFont="1" applyFill="1" applyBorder="1"/>
    <xf numFmtId="3" fontId="7" fillId="3" borderId="21" xfId="15" applyNumberFormat="1" applyFont="1" applyFill="1" applyBorder="1"/>
    <xf numFmtId="3" fontId="15" fillId="3" borderId="10" xfId="15" applyNumberFormat="1" applyFont="1" applyFill="1" applyBorder="1"/>
    <xf numFmtId="0" fontId="12" fillId="2" borderId="3" xfId="15" applyFill="1" applyBorder="1"/>
    <xf numFmtId="3" fontId="12" fillId="2" borderId="34" xfId="15" applyNumberFormat="1" applyFill="1" applyBorder="1"/>
    <xf numFmtId="3" fontId="12" fillId="2" borderId="3" xfId="15" applyNumberFormat="1" applyFill="1" applyBorder="1"/>
    <xf numFmtId="3" fontId="12" fillId="0" borderId="42" xfId="15" applyNumberFormat="1" applyFill="1" applyBorder="1"/>
    <xf numFmtId="3" fontId="12" fillId="3" borderId="9" xfId="15" applyNumberFormat="1" applyFill="1" applyBorder="1"/>
    <xf numFmtId="3" fontId="15" fillId="3" borderId="9" xfId="15" applyNumberFormat="1" applyFont="1" applyFill="1" applyBorder="1"/>
    <xf numFmtId="10" fontId="12" fillId="3" borderId="9" xfId="15" applyNumberFormat="1" applyFill="1" applyBorder="1"/>
    <xf numFmtId="0" fontId="12" fillId="7" borderId="3" xfId="15" applyFill="1" applyBorder="1"/>
    <xf numFmtId="3" fontId="12" fillId="0" borderId="3" xfId="15" applyNumberFormat="1" applyBorder="1" applyAlignment="1">
      <alignment horizontal="center"/>
    </xf>
    <xf numFmtId="3" fontId="12" fillId="0" borderId="33" xfId="15" applyNumberFormat="1" applyFill="1" applyBorder="1" applyAlignment="1">
      <alignment horizontal="center"/>
    </xf>
    <xf numFmtId="3" fontId="12" fillId="0" borderId="3" xfId="15" applyNumberFormat="1" applyFill="1" applyBorder="1" applyAlignment="1">
      <alignment horizontal="center"/>
    </xf>
    <xf numFmtId="3" fontId="12" fillId="0" borderId="4" xfId="15" applyNumberFormat="1" applyFill="1" applyBorder="1" applyAlignment="1">
      <alignment horizontal="center"/>
    </xf>
    <xf numFmtId="3" fontId="12" fillId="0" borderId="12" xfId="15" applyNumberFormat="1" applyFill="1" applyBorder="1" applyAlignment="1">
      <alignment horizontal="center"/>
    </xf>
    <xf numFmtId="3" fontId="1" fillId="0" borderId="9" xfId="15" applyNumberFormat="1" applyFont="1" applyBorder="1" applyAlignment="1">
      <alignment horizontal="center"/>
    </xf>
    <xf numFmtId="3" fontId="12" fillId="0" borderId="11" xfId="15" applyNumberFormat="1" applyBorder="1" applyAlignment="1">
      <alignment horizontal="center"/>
    </xf>
    <xf numFmtId="3" fontId="12" fillId="0" borderId="22" xfId="15" applyNumberFormat="1" applyBorder="1" applyAlignment="1">
      <alignment horizontal="center"/>
    </xf>
    <xf numFmtId="3" fontId="12" fillId="0" borderId="46" xfId="15" applyNumberFormat="1" applyBorder="1"/>
    <xf numFmtId="3" fontId="5" fillId="0" borderId="20" xfId="15" applyNumberFormat="1" applyFont="1" applyBorder="1"/>
    <xf numFmtId="3" fontId="6" fillId="0" borderId="65" xfId="15" applyNumberFormat="1" applyFont="1" applyBorder="1"/>
    <xf numFmtId="3" fontId="12" fillId="0" borderId="66" xfId="15" applyNumberFormat="1" applyBorder="1"/>
    <xf numFmtId="3" fontId="12" fillId="0" borderId="20" xfId="15" applyNumberFormat="1" applyBorder="1" applyAlignment="1">
      <alignment horizontal="center"/>
    </xf>
    <xf numFmtId="3" fontId="12" fillId="0" borderId="35" xfId="15" applyNumberFormat="1" applyFill="1" applyBorder="1" applyAlignment="1">
      <alignment horizontal="center"/>
    </xf>
    <xf numFmtId="3" fontId="12" fillId="0" borderId="20" xfId="15" applyNumberFormat="1" applyFill="1" applyBorder="1"/>
    <xf numFmtId="3" fontId="12" fillId="0" borderId="65" xfId="15" applyNumberFormat="1" applyFill="1" applyBorder="1"/>
    <xf numFmtId="3" fontId="6" fillId="0" borderId="12" xfId="15" applyNumberFormat="1" applyFont="1" applyFill="1" applyBorder="1"/>
    <xf numFmtId="3" fontId="8" fillId="0" borderId="9" xfId="15" applyNumberFormat="1" applyFont="1" applyBorder="1"/>
    <xf numFmtId="3" fontId="12" fillId="2" borderId="9" xfId="15" applyNumberFormat="1" applyFill="1" applyBorder="1"/>
    <xf numFmtId="0" fontId="1" fillId="0" borderId="18" xfId="15" applyFont="1" applyBorder="1"/>
    <xf numFmtId="0" fontId="3" fillId="0" borderId="19" xfId="60" applyFont="1" applyBorder="1" applyAlignment="1">
      <alignment horizontal="center"/>
    </xf>
    <xf numFmtId="3" fontId="12" fillId="0" borderId="18" xfId="15" applyNumberFormat="1" applyBorder="1"/>
    <xf numFmtId="3" fontId="12" fillId="0" borderId="17" xfId="15" applyNumberFormat="1" applyBorder="1"/>
    <xf numFmtId="3" fontId="12" fillId="0" borderId="67" xfId="15" applyNumberFormat="1" applyFill="1" applyBorder="1"/>
    <xf numFmtId="3" fontId="12" fillId="0" borderId="19" xfId="15" applyNumberFormat="1" applyFill="1" applyBorder="1"/>
    <xf numFmtId="3" fontId="6" fillId="0" borderId="19" xfId="15" applyNumberFormat="1" applyFont="1" applyFill="1" applyBorder="1"/>
    <xf numFmtId="3" fontId="18" fillId="0" borderId="15" xfId="15" applyNumberFormat="1" applyFont="1" applyBorder="1"/>
    <xf numFmtId="3" fontId="19" fillId="0" borderId="17" xfId="15" applyNumberFormat="1" applyFont="1" applyBorder="1"/>
    <xf numFmtId="0" fontId="12" fillId="0" borderId="15" xfId="15" applyBorder="1"/>
    <xf numFmtId="3" fontId="19" fillId="0" borderId="0" xfId="15" applyNumberFormat="1" applyFont="1" applyFill="1" applyBorder="1"/>
    <xf numFmtId="3" fontId="6" fillId="0" borderId="0" xfId="15" applyNumberFormat="1" applyFont="1" applyAlignment="1">
      <alignment horizontal="right"/>
    </xf>
    <xf numFmtId="3" fontId="21" fillId="0" borderId="0" xfId="15" applyNumberFormat="1" applyFont="1"/>
    <xf numFmtId="3" fontId="12" fillId="0" borderId="0" xfId="15" applyNumberFormat="1" applyFill="1"/>
    <xf numFmtId="10" fontId="0" fillId="0" borderId="44" xfId="0" applyNumberFormat="1" applyFill="1" applyBorder="1" applyAlignment="1">
      <alignment horizontal="right"/>
    </xf>
    <xf numFmtId="3" fontId="0" fillId="7" borderId="15" xfId="0" applyNumberFormat="1" applyFill="1" applyBorder="1"/>
    <xf numFmtId="3" fontId="0" fillId="7" borderId="17" xfId="0" applyNumberFormat="1" applyFill="1" applyBorder="1"/>
    <xf numFmtId="0" fontId="3" fillId="8" borderId="23" xfId="1" applyFont="1" applyFill="1" applyBorder="1" applyAlignment="1">
      <alignment horizontal="center"/>
    </xf>
    <xf numFmtId="0" fontId="1" fillId="0" borderId="17" xfId="0" applyFont="1" applyFill="1" applyBorder="1" applyAlignment="1">
      <alignment vertical="center"/>
    </xf>
    <xf numFmtId="0" fontId="0" fillId="0" borderId="28" xfId="0" applyFill="1" applyBorder="1" applyAlignment="1">
      <alignment horizontal="center"/>
    </xf>
    <xf numFmtId="3" fontId="0" fillId="7" borderId="74" xfId="0" applyNumberFormat="1" applyFill="1" applyBorder="1" applyAlignment="1">
      <alignment horizontal="center"/>
    </xf>
    <xf numFmtId="3" fontId="0" fillId="7" borderId="54" xfId="0" applyNumberFormat="1" applyFill="1" applyBorder="1" applyAlignment="1">
      <alignment horizontal="center"/>
    </xf>
    <xf numFmtId="3" fontId="0" fillId="0" borderId="24" xfId="0" applyNumberFormat="1" applyFill="1" applyBorder="1" applyAlignment="1">
      <alignment horizontal="right"/>
    </xf>
    <xf numFmtId="10" fontId="0" fillId="7" borderId="15" xfId="0" applyNumberFormat="1" applyFill="1" applyBorder="1" applyAlignment="1">
      <alignment horizontal="right"/>
    </xf>
    <xf numFmtId="3" fontId="0" fillId="2" borderId="16" xfId="0" applyNumberFormat="1" applyFill="1" applyBorder="1" applyAlignment="1">
      <alignment horizontal="right"/>
    </xf>
    <xf numFmtId="10" fontId="19" fillId="0" borderId="44" xfId="0" applyNumberFormat="1" applyFont="1" applyFill="1" applyBorder="1"/>
    <xf numFmtId="0" fontId="1" fillId="0" borderId="19" xfId="0" applyFont="1" applyFill="1" applyBorder="1" applyAlignment="1">
      <alignment vertical="center"/>
    </xf>
    <xf numFmtId="10" fontId="0" fillId="0" borderId="0" xfId="0" applyNumberFormat="1"/>
    <xf numFmtId="0" fontId="8" fillId="0" borderId="0" xfId="0" applyFont="1" applyBorder="1"/>
    <xf numFmtId="0" fontId="8" fillId="0" borderId="0" xfId="0" applyFont="1" applyFill="1" applyBorder="1"/>
    <xf numFmtId="10" fontId="8" fillId="0" borderId="0" xfId="0" applyNumberFormat="1" applyFont="1" applyFill="1" applyBorder="1"/>
    <xf numFmtId="3" fontId="0" fillId="0" borderId="42" xfId="0" applyNumberFormat="1" applyFill="1" applyBorder="1" applyAlignment="1">
      <alignment horizontal="right"/>
    </xf>
    <xf numFmtId="0" fontId="0" fillId="0" borderId="20" xfId="0" applyBorder="1"/>
    <xf numFmtId="0" fontId="3" fillId="0" borderId="35" xfId="1" applyFont="1" applyBorder="1" applyAlignment="1">
      <alignment horizontal="center"/>
    </xf>
    <xf numFmtId="0" fontId="0" fillId="0" borderId="43" xfId="0" applyFill="1" applyBorder="1" applyAlignment="1">
      <alignment horizontal="center"/>
    </xf>
    <xf numFmtId="3" fontId="0" fillId="0" borderId="15" xfId="0" applyNumberFormat="1" applyFill="1" applyBorder="1" applyAlignment="1">
      <alignment horizontal="right"/>
    </xf>
    <xf numFmtId="0" fontId="1" fillId="0" borderId="15" xfId="0" applyFont="1" applyFill="1" applyBorder="1" applyAlignment="1">
      <alignment vertical="center"/>
    </xf>
    <xf numFmtId="10" fontId="0" fillId="0" borderId="42" xfId="0" applyNumberFormat="1" applyFill="1" applyBorder="1" applyAlignment="1">
      <alignment horizontal="right"/>
    </xf>
    <xf numFmtId="0" fontId="16" fillId="0" borderId="15" xfId="0" applyFont="1" applyBorder="1" applyAlignment="1">
      <alignment horizontal="center" wrapText="1"/>
    </xf>
    <xf numFmtId="3" fontId="0" fillId="8" borderId="15" xfId="0" applyNumberFormat="1" applyFill="1" applyBorder="1" applyAlignment="1">
      <alignment horizontal="center"/>
    </xf>
    <xf numFmtId="3" fontId="0" fillId="0" borderId="44" xfId="0" applyNumberFormat="1" applyFill="1" applyBorder="1" applyAlignment="1">
      <alignment horizontal="right"/>
    </xf>
    <xf numFmtId="3" fontId="5" fillId="0" borderId="9" xfId="0" applyNumberFormat="1" applyFont="1" applyBorder="1"/>
    <xf numFmtId="10" fontId="5" fillId="0" borderId="30" xfId="0" applyNumberFormat="1" applyFont="1" applyFill="1" applyBorder="1" applyAlignment="1">
      <alignment vertical="center"/>
    </xf>
    <xf numFmtId="3" fontId="5" fillId="0" borderId="44" xfId="0" applyNumberFormat="1" applyFont="1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3" fontId="5" fillId="0" borderId="16" xfId="0" applyNumberFormat="1" applyFont="1" applyFill="1" applyBorder="1" applyAlignment="1">
      <alignment vertical="center"/>
    </xf>
    <xf numFmtId="3" fontId="0" fillId="8" borderId="17" xfId="0" applyNumberFormat="1" applyFill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20" fillId="7" borderId="17" xfId="0" applyNumberFormat="1" applyFont="1" applyFill="1" applyBorder="1" applyAlignment="1">
      <alignment horizontal="center" vertical="center" wrapText="1"/>
    </xf>
    <xf numFmtId="3" fontId="5" fillId="7" borderId="21" xfId="0" applyNumberFormat="1" applyFont="1" applyFill="1" applyBorder="1" applyAlignment="1">
      <alignment horizontal="right"/>
    </xf>
    <xf numFmtId="0" fontId="1" fillId="0" borderId="23" xfId="0" applyFont="1" applyFill="1" applyBorder="1" applyAlignment="1">
      <alignment vertical="center"/>
    </xf>
    <xf numFmtId="0" fontId="16" fillId="0" borderId="43" xfId="0" applyFont="1" applyBorder="1" applyAlignment="1">
      <alignment horizontal="center" vertical="center" wrapText="1"/>
    </xf>
    <xf numFmtId="3" fontId="17" fillId="0" borderId="15" xfId="0" applyNumberFormat="1" applyFont="1" applyBorder="1"/>
    <xf numFmtId="3" fontId="5" fillId="0" borderId="12" xfId="0" applyNumberFormat="1" applyFont="1" applyBorder="1"/>
    <xf numFmtId="3" fontId="0" fillId="8" borderId="24" xfId="0" applyNumberFormat="1" applyFill="1" applyBorder="1" applyAlignment="1">
      <alignment horizontal="center"/>
    </xf>
    <xf numFmtId="10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0" fontId="0" fillId="0" borderId="0" xfId="0" applyNumberFormat="1" applyFill="1" applyBorder="1"/>
    <xf numFmtId="3" fontId="1" fillId="0" borderId="0" xfId="0" applyNumberFormat="1" applyFont="1" applyFill="1" applyBorder="1"/>
    <xf numFmtId="3" fontId="17" fillId="0" borderId="0" xfId="0" applyNumberFormat="1" applyFont="1" applyFill="1" applyBorder="1"/>
    <xf numFmtId="0" fontId="40" fillId="0" borderId="0" xfId="0" applyFont="1"/>
    <xf numFmtId="0" fontId="40" fillId="0" borderId="43" xfId="0" applyFont="1" applyBorder="1"/>
    <xf numFmtId="0" fontId="40" fillId="0" borderId="30" xfId="0" applyFont="1" applyBorder="1"/>
    <xf numFmtId="0" fontId="40" fillId="0" borderId="21" xfId="0" applyFont="1" applyBorder="1"/>
    <xf numFmtId="3" fontId="40" fillId="0" borderId="27" xfId="0" applyNumberFormat="1" applyFont="1" applyBorder="1"/>
    <xf numFmtId="3" fontId="40" fillId="0" borderId="42" xfId="0" applyNumberFormat="1" applyFont="1" applyBorder="1"/>
    <xf numFmtId="3" fontId="40" fillId="0" borderId="30" xfId="0" applyNumberFormat="1" applyFont="1" applyBorder="1"/>
    <xf numFmtId="3" fontId="40" fillId="0" borderId="43" xfId="0" applyNumberFormat="1" applyFont="1" applyBorder="1" applyAlignment="1">
      <alignment horizontal="left"/>
    </xf>
    <xf numFmtId="3" fontId="40" fillId="0" borderId="43" xfId="0" applyNumberFormat="1" applyFont="1" applyBorder="1" applyAlignment="1">
      <alignment horizontal="right"/>
    </xf>
    <xf numFmtId="3" fontId="40" fillId="0" borderId="44" xfId="0" applyNumberFormat="1" applyFont="1" applyBorder="1"/>
    <xf numFmtId="3" fontId="40" fillId="0" borderId="24" xfId="0" applyNumberFormat="1" applyFont="1" applyBorder="1"/>
    <xf numFmtId="3" fontId="40" fillId="0" borderId="0" xfId="0" applyNumberFormat="1" applyFont="1"/>
    <xf numFmtId="3" fontId="40" fillId="0" borderId="23" xfId="0" applyNumberFormat="1" applyFont="1" applyBorder="1"/>
    <xf numFmtId="10" fontId="40" fillId="0" borderId="0" xfId="0" applyNumberFormat="1" applyFont="1"/>
    <xf numFmtId="3" fontId="5" fillId="0" borderId="9" xfId="0" applyNumberFormat="1" applyFont="1" applyFill="1" applyBorder="1"/>
    <xf numFmtId="43" fontId="0" fillId="0" borderId="0" xfId="62" applyFont="1"/>
    <xf numFmtId="167" fontId="0" fillId="0" borderId="4" xfId="62" applyNumberFormat="1" applyFont="1" applyBorder="1"/>
    <xf numFmtId="167" fontId="0" fillId="3" borderId="2" xfId="62" applyNumberFormat="1" applyFont="1" applyFill="1" applyBorder="1"/>
    <xf numFmtId="167" fontId="0" fillId="0" borderId="65" xfId="62" applyNumberFormat="1" applyFont="1" applyBorder="1"/>
    <xf numFmtId="167" fontId="5" fillId="0" borderId="4" xfId="62" applyNumberFormat="1" applyFont="1" applyBorder="1"/>
    <xf numFmtId="3" fontId="42" fillId="40" borderId="1" xfId="0" applyNumberFormat="1" applyFont="1" applyFill="1" applyBorder="1"/>
    <xf numFmtId="3" fontId="42" fillId="0" borderId="3" xfId="0" applyNumberFormat="1" applyFont="1" applyFill="1" applyBorder="1"/>
    <xf numFmtId="3" fontId="42" fillId="0" borderId="5" xfId="0" applyNumberFormat="1" applyFont="1" applyFill="1" applyBorder="1"/>
    <xf numFmtId="3" fontId="40" fillId="0" borderId="21" xfId="0" applyNumberFormat="1" applyFont="1" applyBorder="1"/>
    <xf numFmtId="0" fontId="40" fillId="0" borderId="24" xfId="0" applyFont="1" applyBorder="1"/>
    <xf numFmtId="3" fontId="5" fillId="3" borderId="10" xfId="0" applyNumberFormat="1" applyFont="1" applyFill="1" applyBorder="1"/>
    <xf numFmtId="3" fontId="5" fillId="3" borderId="14" xfId="0" applyNumberFormat="1" applyFont="1" applyFill="1" applyBorder="1"/>
    <xf numFmtId="3" fontId="5" fillId="3" borderId="32" xfId="0" applyNumberFormat="1" applyFont="1" applyFill="1" applyBorder="1"/>
    <xf numFmtId="0" fontId="0" fillId="0" borderId="29" xfId="0" applyBorder="1" applyAlignment="1">
      <alignment horizontal="center"/>
    </xf>
    <xf numFmtId="0" fontId="40" fillId="0" borderId="15" xfId="0" applyFont="1" applyBorder="1" applyAlignment="1">
      <alignment horizontal="center" vertical="center"/>
    </xf>
    <xf numFmtId="3" fontId="40" fillId="0" borderId="17" xfId="0" applyNumberFormat="1" applyFont="1" applyBorder="1"/>
    <xf numFmtId="3" fontId="40" fillId="0" borderId="23" xfId="0" applyNumberFormat="1" applyFont="1" applyFill="1" applyBorder="1"/>
    <xf numFmtId="3" fontId="40" fillId="0" borderId="15" xfId="0" applyNumberFormat="1" applyFont="1" applyBorder="1"/>
    <xf numFmtId="3" fontId="42" fillId="0" borderId="24" xfId="0" applyNumberFormat="1" applyFont="1" applyFill="1" applyBorder="1" applyAlignment="1">
      <alignment horizontal="right"/>
    </xf>
    <xf numFmtId="3" fontId="42" fillId="0" borderId="36" xfId="0" applyNumberFormat="1" applyFont="1" applyFill="1" applyBorder="1"/>
    <xf numFmtId="0" fontId="40" fillId="0" borderId="42" xfId="0" applyFont="1" applyBorder="1"/>
    <xf numFmtId="10" fontId="40" fillId="0" borderId="43" xfId="0" applyNumberFormat="1" applyFont="1" applyBorder="1"/>
    <xf numFmtId="10" fontId="40" fillId="0" borderId="44" xfId="0" applyNumberFormat="1" applyFont="1" applyBorder="1"/>
    <xf numFmtId="10" fontId="40" fillId="0" borderId="43" xfId="0" applyNumberFormat="1" applyFont="1" applyFill="1" applyBorder="1" applyAlignment="1">
      <alignment horizontal="right"/>
    </xf>
    <xf numFmtId="0" fontId="40" fillId="0" borderId="44" xfId="0" applyFont="1" applyBorder="1"/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3" fontId="0" fillId="8" borderId="15" xfId="0" applyNumberFormat="1" applyFont="1" applyFill="1" applyBorder="1"/>
    <xf numFmtId="3" fontId="42" fillId="0" borderId="33" xfId="0" applyNumberFormat="1" applyFont="1" applyFill="1" applyBorder="1"/>
    <xf numFmtId="3" fontId="42" fillId="0" borderId="47" xfId="0" applyNumberFormat="1" applyFont="1" applyFill="1" applyBorder="1"/>
    <xf numFmtId="3" fontId="42" fillId="40" borderId="32" xfId="0" applyNumberFormat="1" applyFont="1" applyFill="1" applyBorder="1"/>
    <xf numFmtId="3" fontId="40" fillId="0" borderId="3" xfId="0" applyNumberFormat="1" applyFont="1" applyBorder="1"/>
    <xf numFmtId="0" fontId="40" fillId="0" borderId="4" xfId="0" applyFont="1" applyBorder="1"/>
    <xf numFmtId="3" fontId="40" fillId="2" borderId="4" xfId="0" applyNumberFormat="1" applyFont="1" applyFill="1" applyBorder="1"/>
    <xf numFmtId="3" fontId="42" fillId="40" borderId="76" xfId="0" applyNumberFormat="1" applyFont="1" applyFill="1" applyBorder="1"/>
    <xf numFmtId="3" fontId="1" fillId="2" borderId="15" xfId="0" applyNumberFormat="1" applyFont="1" applyFill="1" applyBorder="1"/>
    <xf numFmtId="0" fontId="0" fillId="0" borderId="17" xfId="0" applyFill="1" applyBorder="1" applyAlignment="1">
      <alignment horizontal="center"/>
    </xf>
    <xf numFmtId="3" fontId="1" fillId="6" borderId="15" xfId="0" applyNumberFormat="1" applyFont="1" applyFill="1" applyBorder="1"/>
    <xf numFmtId="0" fontId="16" fillId="0" borderId="44" xfId="0" applyFont="1" applyBorder="1" applyAlignment="1">
      <alignment horizontal="center" vertical="center" wrapText="1"/>
    </xf>
    <xf numFmtId="9" fontId="0" fillId="0" borderId="0" xfId="0" applyNumberFormat="1" applyAlignment="1">
      <alignment horizontal="right"/>
    </xf>
    <xf numFmtId="10" fontId="8" fillId="0" borderId="17" xfId="0" applyNumberFormat="1" applyFont="1" applyFill="1" applyBorder="1" applyAlignment="1">
      <alignment vertical="center"/>
    </xf>
    <xf numFmtId="10" fontId="8" fillId="0" borderId="15" xfId="0" applyNumberFormat="1" applyFont="1" applyFill="1" applyBorder="1" applyAlignment="1">
      <alignment vertical="center"/>
    </xf>
    <xf numFmtId="168" fontId="0" fillId="0" borderId="0" xfId="0" applyNumberFormat="1" applyFill="1"/>
    <xf numFmtId="3" fontId="21" fillId="0" borderId="0" xfId="0" applyNumberFormat="1" applyFont="1" applyFill="1"/>
    <xf numFmtId="0" fontId="0" fillId="0" borderId="50" xfId="0" applyBorder="1"/>
    <xf numFmtId="0" fontId="3" fillId="0" borderId="51" xfId="1" applyFont="1" applyBorder="1" applyAlignment="1">
      <alignment horizontal="center"/>
    </xf>
    <xf numFmtId="3" fontId="0" fillId="0" borderId="46" xfId="0" applyNumberFormat="1" applyBorder="1"/>
    <xf numFmtId="3" fontId="0" fillId="0" borderId="45" xfId="0" applyNumberFormat="1" applyBorder="1"/>
    <xf numFmtId="167" fontId="5" fillId="0" borderId="52" xfId="62" applyNumberFormat="1" applyFont="1" applyBorder="1"/>
    <xf numFmtId="0" fontId="3" fillId="0" borderId="4" xfId="1" applyFont="1" applyBorder="1" applyAlignment="1">
      <alignment horizontal="center"/>
    </xf>
    <xf numFmtId="2" fontId="19" fillId="0" borderId="0" xfId="0" applyNumberFormat="1" applyFont="1" applyFill="1"/>
    <xf numFmtId="0" fontId="44" fillId="0" borderId="21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wrapText="1"/>
    </xf>
    <xf numFmtId="3" fontId="5" fillId="8" borderId="17" xfId="0" applyNumberFormat="1" applyFont="1" applyFill="1" applyBorder="1" applyAlignment="1">
      <alignment horizontal="center"/>
    </xf>
    <xf numFmtId="3" fontId="17" fillId="8" borderId="15" xfId="0" applyNumberFormat="1" applyFont="1" applyFill="1" applyBorder="1"/>
    <xf numFmtId="3" fontId="5" fillId="0" borderId="21" xfId="0" applyNumberFormat="1" applyFont="1" applyBorder="1" applyAlignment="1">
      <alignment horizontal="center"/>
    </xf>
    <xf numFmtId="3" fontId="45" fillId="7" borderId="17" xfId="0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44" xfId="0" applyFont="1" applyFill="1" applyBorder="1" applyAlignment="1">
      <alignment vertical="center"/>
    </xf>
    <xf numFmtId="3" fontId="5" fillId="0" borderId="44" xfId="0" applyNumberFormat="1" applyFont="1" applyFill="1" applyBorder="1" applyAlignment="1">
      <alignment horizontal="right"/>
    </xf>
    <xf numFmtId="3" fontId="5" fillId="0" borderId="11" xfId="0" applyNumberFormat="1" applyFont="1" applyBorder="1"/>
    <xf numFmtId="0" fontId="17" fillId="0" borderId="0" xfId="0" applyFont="1" applyBorder="1"/>
    <xf numFmtId="3" fontId="5" fillId="0" borderId="0" xfId="0" applyNumberFormat="1" applyFont="1" applyFill="1"/>
    <xf numFmtId="0" fontId="1" fillId="3" borderId="18" xfId="0" applyFont="1" applyFill="1" applyBorder="1"/>
    <xf numFmtId="0" fontId="3" fillId="3" borderId="19" xfId="1" applyFont="1" applyFill="1" applyBorder="1" applyAlignment="1">
      <alignment horizontal="center"/>
    </xf>
    <xf numFmtId="3" fontId="1" fillId="3" borderId="15" xfId="0" applyNumberFormat="1" applyFont="1" applyFill="1" applyBorder="1"/>
    <xf numFmtId="3" fontId="1" fillId="3" borderId="19" xfId="0" applyNumberFormat="1" applyFont="1" applyFill="1" applyBorder="1"/>
    <xf numFmtId="3" fontId="42" fillId="0" borderId="26" xfId="0" applyNumberFormat="1" applyFont="1" applyFill="1" applyBorder="1"/>
    <xf numFmtId="3" fontId="40" fillId="0" borderId="36" xfId="0" applyNumberFormat="1" applyFont="1" applyFill="1" applyBorder="1"/>
    <xf numFmtId="3" fontId="0" fillId="0" borderId="51" xfId="0" applyNumberFormat="1" applyFill="1" applyBorder="1"/>
    <xf numFmtId="0" fontId="6" fillId="0" borderId="0" xfId="0" applyFont="1"/>
    <xf numFmtId="3" fontId="17" fillId="3" borderId="2" xfId="0" applyNumberFormat="1" applyFont="1" applyFill="1" applyBorder="1"/>
    <xf numFmtId="0" fontId="5" fillId="0" borderId="0" xfId="0" applyFont="1" applyBorder="1"/>
    <xf numFmtId="166" fontId="0" fillId="0" borderId="0" xfId="0" applyNumberFormat="1"/>
    <xf numFmtId="3" fontId="40" fillId="2" borderId="2" xfId="0" applyNumberFormat="1" applyFont="1" applyFill="1" applyBorder="1"/>
    <xf numFmtId="3" fontId="1" fillId="41" borderId="15" xfId="0" applyNumberFormat="1" applyFont="1" applyFill="1" applyBorder="1" applyAlignment="1">
      <alignment horizontal="right"/>
    </xf>
    <xf numFmtId="3" fontId="1" fillId="41" borderId="10" xfId="0" applyNumberFormat="1" applyFont="1" applyFill="1" applyBorder="1" applyAlignment="1">
      <alignment horizontal="right"/>
    </xf>
    <xf numFmtId="3" fontId="0" fillId="41" borderId="2" xfId="0" applyNumberFormat="1" applyFill="1" applyBorder="1" applyAlignment="1">
      <alignment horizontal="right"/>
    </xf>
    <xf numFmtId="3" fontId="0" fillId="41" borderId="32" xfId="0" applyNumberFormat="1" applyFill="1" applyBorder="1" applyAlignment="1">
      <alignment horizontal="right"/>
    </xf>
    <xf numFmtId="3" fontId="0" fillId="41" borderId="1" xfId="0" applyNumberFormat="1" applyFill="1" applyBorder="1" applyAlignment="1">
      <alignment horizontal="right"/>
    </xf>
    <xf numFmtId="3" fontId="17" fillId="0" borderId="78" xfId="0" applyNumberFormat="1" applyFont="1" applyFill="1" applyBorder="1"/>
    <xf numFmtId="3" fontId="17" fillId="3" borderId="19" xfId="0" applyNumberFormat="1" applyFont="1" applyFill="1" applyBorder="1"/>
    <xf numFmtId="3" fontId="17" fillId="0" borderId="9" xfId="0" applyNumberFormat="1" applyFont="1" applyBorder="1" applyAlignment="1">
      <alignment horizontal="center"/>
    </xf>
    <xf numFmtId="3" fontId="17" fillId="0" borderId="43" xfId="0" applyNumberFormat="1" applyFont="1" applyFill="1" applyBorder="1"/>
    <xf numFmtId="3" fontId="17" fillId="0" borderId="70" xfId="0" applyNumberFormat="1" applyFont="1" applyFill="1" applyBorder="1"/>
    <xf numFmtId="3" fontId="17" fillId="0" borderId="8" xfId="0" applyNumberFormat="1" applyFont="1" applyFill="1" applyBorder="1"/>
    <xf numFmtId="3" fontId="17" fillId="0" borderId="9" xfId="0" applyNumberFormat="1" applyFont="1" applyFill="1" applyBorder="1"/>
    <xf numFmtId="3" fontId="17" fillId="3" borderId="10" xfId="0" applyNumberFormat="1" applyFont="1" applyFill="1" applyBorder="1"/>
    <xf numFmtId="3" fontId="5" fillId="0" borderId="3" xfId="0" applyNumberFormat="1" applyFont="1" applyFill="1" applyBorder="1"/>
    <xf numFmtId="3" fontId="5" fillId="0" borderId="34" xfId="0" applyNumberFormat="1" applyFont="1" applyFill="1" applyBorder="1"/>
    <xf numFmtId="3" fontId="5" fillId="3" borderId="1" xfId="0" applyNumberFormat="1" applyFont="1" applyFill="1" applyBorder="1"/>
    <xf numFmtId="0" fontId="0" fillId="0" borderId="0" xfId="0" applyBorder="1"/>
    <xf numFmtId="1" fontId="0" fillId="0" borderId="0" xfId="0" applyNumberFormat="1" applyBorder="1"/>
    <xf numFmtId="3" fontId="40" fillId="0" borderId="44" xfId="0" applyNumberFormat="1" applyFont="1" applyFill="1" applyBorder="1"/>
    <xf numFmtId="3" fontId="40" fillId="0" borderId="43" xfId="0" applyNumberFormat="1" applyFont="1" applyFill="1" applyBorder="1"/>
    <xf numFmtId="3" fontId="5" fillId="0" borderId="27" xfId="0" applyNumberFormat="1" applyFont="1" applyBorder="1" applyAlignment="1">
      <alignment horizontal="left"/>
    </xf>
    <xf numFmtId="0" fontId="0" fillId="0" borderId="28" xfId="0" applyBorder="1"/>
    <xf numFmtId="0" fontId="5" fillId="0" borderId="29" xfId="0" applyFont="1" applyBorder="1"/>
    <xf numFmtId="4" fontId="5" fillId="0" borderId="24" xfId="0" applyNumberFormat="1" applyFont="1" applyBorder="1"/>
    <xf numFmtId="0" fontId="0" fillId="0" borderId="31" xfId="0" applyBorder="1"/>
    <xf numFmtId="0" fontId="5" fillId="0" borderId="23" xfId="0" applyFont="1" applyBorder="1"/>
    <xf numFmtId="0" fontId="0" fillId="0" borderId="27" xfId="0" applyBorder="1"/>
    <xf numFmtId="3" fontId="0" fillId="0" borderId="28" xfId="0" applyNumberFormat="1" applyBorder="1"/>
    <xf numFmtId="0" fontId="5" fillId="0" borderId="28" xfId="0" applyFont="1" applyBorder="1"/>
    <xf numFmtId="0" fontId="0" fillId="0" borderId="29" xfId="0" applyBorder="1"/>
    <xf numFmtId="0" fontId="0" fillId="0" borderId="30" xfId="0" applyBorder="1"/>
    <xf numFmtId="3" fontId="0" fillId="0" borderId="24" xfId="0" applyNumberFormat="1" applyBorder="1"/>
    <xf numFmtId="0" fontId="0" fillId="2" borderId="31" xfId="0" applyFill="1" applyBorder="1"/>
    <xf numFmtId="10" fontId="0" fillId="2" borderId="31" xfId="0" applyNumberFormat="1" applyFill="1" applyBorder="1"/>
    <xf numFmtId="0" fontId="46" fillId="0" borderId="0" xfId="0" applyFont="1" applyAlignment="1">
      <alignment vertical="center"/>
    </xf>
    <xf numFmtId="10" fontId="46" fillId="0" borderId="0" xfId="0" applyNumberFormat="1" applyFont="1" applyAlignment="1">
      <alignment vertical="center"/>
    </xf>
    <xf numFmtId="3" fontId="40" fillId="0" borderId="21" xfId="0" applyNumberFormat="1" applyFont="1" applyFill="1" applyBorder="1"/>
    <xf numFmtId="0" fontId="0" fillId="0" borderId="0" xfId="0" applyFill="1"/>
    <xf numFmtId="3" fontId="40" fillId="0" borderId="71" xfId="0" applyNumberFormat="1" applyFont="1" applyBorder="1"/>
    <xf numFmtId="0" fontId="40" fillId="0" borderId="36" xfId="0" applyFont="1" applyBorder="1"/>
    <xf numFmtId="0" fontId="40" fillId="0" borderId="26" xfId="0" applyFont="1" applyBorder="1"/>
    <xf numFmtId="0" fontId="47" fillId="0" borderId="0" xfId="0" applyFont="1"/>
    <xf numFmtId="0" fontId="39" fillId="0" borderId="0" xfId="0" applyFont="1"/>
    <xf numFmtId="3" fontId="40" fillId="0" borderId="43" xfId="0" applyNumberFormat="1" applyFont="1" applyBorder="1"/>
    <xf numFmtId="3" fontId="0" fillId="6" borderId="15" xfId="0" applyNumberFormat="1" applyFill="1" applyBorder="1" applyAlignment="1">
      <alignment wrapText="1"/>
    </xf>
    <xf numFmtId="4" fontId="5" fillId="0" borderId="30" xfId="0" applyNumberFormat="1" applyFont="1" applyBorder="1"/>
    <xf numFmtId="0" fontId="5" fillId="0" borderId="21" xfId="0" applyFont="1" applyBorder="1"/>
    <xf numFmtId="0" fontId="5" fillId="0" borderId="24" xfId="0" applyFont="1" applyBorder="1"/>
    <xf numFmtId="3" fontId="40" fillId="0" borderId="50" xfId="0" applyNumberFormat="1" applyFont="1" applyBorder="1"/>
    <xf numFmtId="3" fontId="40" fillId="0" borderId="37" xfId="0" applyNumberFormat="1" applyFont="1" applyBorder="1"/>
    <xf numFmtId="1" fontId="40" fillId="0" borderId="37" xfId="0" applyNumberFormat="1" applyFont="1" applyBorder="1"/>
    <xf numFmtId="0" fontId="40" fillId="0" borderId="37" xfId="0" applyFont="1" applyBorder="1"/>
    <xf numFmtId="10" fontId="0" fillId="7" borderId="17" xfId="0" applyNumberFormat="1" applyFill="1" applyBorder="1" applyAlignment="1">
      <alignment horizontal="right"/>
    </xf>
    <xf numFmtId="3" fontId="5" fillId="0" borderId="79" xfId="0" applyNumberFormat="1" applyFont="1" applyFill="1" applyBorder="1"/>
    <xf numFmtId="10" fontId="5" fillId="0" borderId="29" xfId="0" applyNumberFormat="1" applyFont="1" applyFill="1" applyBorder="1" applyAlignment="1">
      <alignment vertical="center"/>
    </xf>
    <xf numFmtId="3" fontId="5" fillId="0" borderId="12" xfId="0" applyNumberFormat="1" applyFont="1" applyFill="1" applyBorder="1"/>
    <xf numFmtId="3" fontId="1" fillId="3" borderId="17" xfId="0" applyNumberFormat="1" applyFont="1" applyFill="1" applyBorder="1"/>
    <xf numFmtId="0" fontId="16" fillId="0" borderId="23" xfId="0" applyFont="1" applyBorder="1" applyAlignment="1">
      <alignment horizontal="center" vertical="center" wrapText="1"/>
    </xf>
    <xf numFmtId="3" fontId="0" fillId="3" borderId="14" xfId="0" applyNumberFormat="1" applyFill="1" applyBorder="1"/>
    <xf numFmtId="3" fontId="0" fillId="0" borderId="11" xfId="0" applyNumberFormat="1" applyBorder="1"/>
    <xf numFmtId="0" fontId="0" fillId="0" borderId="44" xfId="0" applyBorder="1" applyAlignment="1">
      <alignment horizontal="center"/>
    </xf>
    <xf numFmtId="0" fontId="37" fillId="0" borderId="44" xfId="0" applyFont="1" applyBorder="1" applyAlignment="1">
      <alignment horizontal="center" wrapText="1"/>
    </xf>
    <xf numFmtId="9" fontId="19" fillId="0" borderId="26" xfId="0" applyNumberFormat="1" applyFont="1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169" fontId="5" fillId="8" borderId="17" xfId="0" applyNumberFormat="1" applyFont="1" applyFill="1" applyBorder="1" applyAlignment="1">
      <alignment horizontal="center"/>
    </xf>
    <xf numFmtId="169" fontId="45" fillId="7" borderId="17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/>
    <xf numFmtId="3" fontId="5" fillId="0" borderId="15" xfId="0" applyNumberFormat="1" applyFont="1" applyBorder="1" applyAlignment="1">
      <alignment horizontal="center"/>
    </xf>
    <xf numFmtId="3" fontId="0" fillId="0" borderId="15" xfId="0" applyNumberFormat="1" applyFill="1" applyBorder="1"/>
    <xf numFmtId="3" fontId="1" fillId="0" borderId="15" xfId="0" applyNumberFormat="1" applyFont="1" applyBorder="1"/>
    <xf numFmtId="3" fontId="17" fillId="0" borderId="15" xfId="0" applyNumberFormat="1" applyFont="1" applyFill="1" applyBorder="1" applyAlignment="1">
      <alignment vertical="center"/>
    </xf>
    <xf numFmtId="3" fontId="17" fillId="0" borderId="17" xfId="0" applyNumberFormat="1" applyFont="1" applyFill="1" applyBorder="1" applyAlignment="1">
      <alignment vertical="center"/>
    </xf>
    <xf numFmtId="0" fontId="17" fillId="0" borderId="29" xfId="0" applyFont="1" applyFill="1" applyBorder="1" applyAlignment="1">
      <alignment vertical="center"/>
    </xf>
    <xf numFmtId="3" fontId="0" fillId="8" borderId="15" xfId="0" applyNumberFormat="1" applyFill="1" applyBorder="1"/>
    <xf numFmtId="1" fontId="1" fillId="0" borderId="17" xfId="0" applyNumberFormat="1" applyFont="1" applyFill="1" applyBorder="1" applyAlignment="1">
      <alignment vertical="center"/>
    </xf>
    <xf numFmtId="1" fontId="17" fillId="0" borderId="17" xfId="0" applyNumberFormat="1" applyFont="1" applyFill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wrapText="1"/>
    </xf>
    <xf numFmtId="0" fontId="16" fillId="42" borderId="15" xfId="0" applyFont="1" applyFill="1" applyBorder="1" applyAlignment="1">
      <alignment horizontal="center" wrapText="1"/>
    </xf>
    <xf numFmtId="0" fontId="16" fillId="42" borderId="17" xfId="0" applyFont="1" applyFill="1" applyBorder="1" applyAlignment="1">
      <alignment horizontal="center" wrapText="1"/>
    </xf>
    <xf numFmtId="0" fontId="44" fillId="42" borderId="17" xfId="0" applyFont="1" applyFill="1" applyBorder="1" applyAlignment="1">
      <alignment horizontal="center" wrapText="1"/>
    </xf>
    <xf numFmtId="3" fontId="0" fillId="2" borderId="44" xfId="0" applyNumberFormat="1" applyFill="1" applyBorder="1" applyAlignment="1">
      <alignment horizontal="right"/>
    </xf>
    <xf numFmtId="3" fontId="40" fillId="0" borderId="0" xfId="0" applyNumberFormat="1" applyFont="1" applyBorder="1"/>
    <xf numFmtId="3" fontId="42" fillId="0" borderId="24" xfId="0" applyNumberFormat="1" applyFont="1" applyFill="1" applyBorder="1"/>
    <xf numFmtId="3" fontId="42" fillId="0" borderId="54" xfId="0" applyNumberFormat="1" applyFont="1" applyFill="1" applyBorder="1"/>
    <xf numFmtId="1" fontId="40" fillId="0" borderId="51" xfId="0" applyNumberFormat="1" applyFont="1" applyBorder="1"/>
    <xf numFmtId="1" fontId="40" fillId="0" borderId="33" xfId="0" applyNumberFormat="1" applyFont="1" applyBorder="1"/>
    <xf numFmtId="0" fontId="0" fillId="0" borderId="37" xfId="0" applyBorder="1"/>
    <xf numFmtId="0" fontId="5" fillId="0" borderId="37" xfId="0" applyFont="1" applyBorder="1"/>
    <xf numFmtId="3" fontId="5" fillId="0" borderId="37" xfId="0" applyNumberFormat="1" applyFont="1" applyBorder="1"/>
    <xf numFmtId="10" fontId="40" fillId="0" borderId="37" xfId="0" applyNumberFormat="1" applyFont="1" applyBorder="1"/>
    <xf numFmtId="3" fontId="5" fillId="0" borderId="37" xfId="0" applyNumberFormat="1" applyFont="1" applyBorder="1" applyAlignment="1">
      <alignment horizontal="right"/>
    </xf>
    <xf numFmtId="0" fontId="5" fillId="0" borderId="37" xfId="0" applyFont="1" applyBorder="1" applyAlignment="1">
      <alignment horizontal="right"/>
    </xf>
    <xf numFmtId="3" fontId="40" fillId="0" borderId="37" xfId="0" applyNumberFormat="1" applyFont="1" applyFill="1" applyBorder="1"/>
    <xf numFmtId="3" fontId="42" fillId="0" borderId="37" xfId="0" applyNumberFormat="1" applyFont="1" applyFill="1" applyBorder="1"/>
    <xf numFmtId="10" fontId="40" fillId="0" borderId="37" xfId="0" applyNumberFormat="1" applyFont="1" applyFill="1" applyBorder="1" applyAlignment="1">
      <alignment horizontal="right"/>
    </xf>
    <xf numFmtId="3" fontId="42" fillId="0" borderId="37" xfId="0" applyNumberFormat="1" applyFont="1" applyFill="1" applyBorder="1" applyAlignment="1">
      <alignment horizontal="right"/>
    </xf>
    <xf numFmtId="3" fontId="40" fillId="8" borderId="37" xfId="0" applyNumberFormat="1" applyFont="1" applyFill="1" applyBorder="1"/>
    <xf numFmtId="3" fontId="40" fillId="2" borderId="37" xfId="0" applyNumberFormat="1" applyFont="1" applyFill="1" applyBorder="1"/>
    <xf numFmtId="3" fontId="42" fillId="40" borderId="37" xfId="0" applyNumberFormat="1" applyFont="1" applyFill="1" applyBorder="1"/>
    <xf numFmtId="3" fontId="5" fillId="8" borderId="37" xfId="0" applyNumberFormat="1" applyFont="1" applyFill="1" applyBorder="1"/>
    <xf numFmtId="170" fontId="44" fillId="42" borderId="17" xfId="0" applyNumberFormat="1" applyFont="1" applyFill="1" applyBorder="1" applyAlignment="1">
      <alignment horizontal="center" wrapText="1"/>
    </xf>
    <xf numFmtId="3" fontId="0" fillId="2" borderId="15" xfId="0" applyNumberFormat="1" applyFill="1" applyBorder="1" applyAlignment="1">
      <alignment horizontal="right"/>
    </xf>
    <xf numFmtId="1" fontId="17" fillId="0" borderId="15" xfId="0" applyNumberFormat="1" applyFont="1" applyFill="1" applyBorder="1" applyAlignment="1">
      <alignment vertical="center"/>
    </xf>
    <xf numFmtId="3" fontId="40" fillId="0" borderId="69" xfId="0" applyNumberFormat="1" applyFont="1" applyFill="1" applyBorder="1"/>
    <xf numFmtId="1" fontId="17" fillId="0" borderId="44" xfId="0" applyNumberFormat="1" applyFont="1" applyFill="1" applyBorder="1" applyAlignment="1">
      <alignment vertical="center"/>
    </xf>
    <xf numFmtId="1" fontId="17" fillId="0" borderId="23" xfId="0" applyNumberFormat="1" applyFont="1" applyFill="1" applyBorder="1" applyAlignment="1">
      <alignment vertical="center"/>
    </xf>
    <xf numFmtId="1" fontId="1" fillId="0" borderId="23" xfId="0" applyNumberFormat="1" applyFont="1" applyFill="1" applyBorder="1" applyAlignment="1">
      <alignment vertical="center"/>
    </xf>
    <xf numFmtId="0" fontId="0" fillId="0" borderId="24" xfId="0" applyBorder="1"/>
    <xf numFmtId="3" fontId="40" fillId="0" borderId="31" xfId="0" applyNumberFormat="1" applyFont="1" applyBorder="1"/>
    <xf numFmtId="3" fontId="5" fillId="0" borderId="66" xfId="0" applyNumberFormat="1" applyFont="1" applyBorder="1"/>
    <xf numFmtId="3" fontId="5" fillId="0" borderId="44" xfId="0" applyNumberFormat="1" applyFont="1" applyBorder="1"/>
    <xf numFmtId="3" fontId="5" fillId="0" borderId="15" xfId="0" applyNumberFormat="1" applyFont="1" applyBorder="1"/>
    <xf numFmtId="169" fontId="5" fillId="7" borderId="17" xfId="0" applyNumberFormat="1" applyFont="1" applyFill="1" applyBorder="1" applyAlignment="1">
      <alignment horizontal="center" vertical="center" wrapText="1"/>
    </xf>
    <xf numFmtId="3" fontId="5" fillId="7" borderId="17" xfId="0" applyNumberFormat="1" applyFont="1" applyFill="1" applyBorder="1" applyAlignment="1">
      <alignment horizontal="right" vertical="center" wrapText="1"/>
    </xf>
    <xf numFmtId="0" fontId="5" fillId="0" borderId="15" xfId="0" applyFont="1" applyFill="1" applyBorder="1" applyAlignment="1">
      <alignment horizontal="center" vertical="center"/>
    </xf>
    <xf numFmtId="3" fontId="5" fillId="3" borderId="29" xfId="0" applyNumberFormat="1" applyFont="1" applyFill="1" applyBorder="1"/>
    <xf numFmtId="0" fontId="48" fillId="0" borderId="28" xfId="0" applyFont="1" applyFill="1" applyBorder="1" applyAlignment="1">
      <alignment horizontal="center" vertical="center"/>
    </xf>
    <xf numFmtId="3" fontId="0" fillId="0" borderId="8" xfId="0" applyNumberFormat="1" applyBorder="1"/>
    <xf numFmtId="3" fontId="5" fillId="0" borderId="13" xfId="0" applyNumberFormat="1" applyFont="1" applyBorder="1"/>
    <xf numFmtId="3" fontId="5" fillId="0" borderId="13" xfId="0" applyNumberFormat="1" applyFont="1" applyFill="1" applyBorder="1"/>
    <xf numFmtId="3" fontId="0" fillId="0" borderId="44" xfId="0" applyNumberFormat="1" applyBorder="1"/>
    <xf numFmtId="3" fontId="5" fillId="0" borderId="23" xfId="0" applyNumberFormat="1" applyFont="1" applyBorder="1"/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42" borderId="16" xfId="0" applyFont="1" applyFill="1" applyBorder="1" applyAlignment="1">
      <alignment horizontal="left" vertical="center"/>
    </xf>
    <xf numFmtId="0" fontId="1" fillId="42" borderId="17" xfId="0" applyFont="1" applyFill="1" applyBorder="1" applyAlignment="1">
      <alignment horizontal="left" vertical="center"/>
    </xf>
    <xf numFmtId="0" fontId="0" fillId="0" borderId="24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1" fillId="7" borderId="27" xfId="0" applyFont="1" applyFill="1" applyBorder="1" applyAlignment="1">
      <alignment horizontal="left" vertical="center"/>
    </xf>
    <xf numFmtId="0" fontId="1" fillId="7" borderId="29" xfId="0" applyFont="1" applyFill="1" applyBorder="1" applyAlignment="1">
      <alignment horizontal="left" vertical="center"/>
    </xf>
    <xf numFmtId="0" fontId="1" fillId="7" borderId="24" xfId="0" applyFont="1" applyFill="1" applyBorder="1" applyAlignment="1">
      <alignment horizontal="left" vertical="center"/>
    </xf>
    <xf numFmtId="0" fontId="1" fillId="7" borderId="23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center" wrapText="1"/>
    </xf>
    <xf numFmtId="0" fontId="0" fillId="0" borderId="17" xfId="0" applyFill="1" applyBorder="1" applyAlignment="1">
      <alignment horizont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3" fontId="1" fillId="8" borderId="16" xfId="0" applyNumberFormat="1" applyFont="1" applyFill="1" applyBorder="1" applyAlignment="1">
      <alignment horizontal="center"/>
    </xf>
    <xf numFmtId="3" fontId="1" fillId="8" borderId="17" xfId="0" applyNumberFormat="1" applyFont="1" applyFill="1" applyBorder="1" applyAlignment="1">
      <alignment horizontal="center"/>
    </xf>
    <xf numFmtId="0" fontId="1" fillId="0" borderId="27" xfId="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0" fontId="1" fillId="0" borderId="77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49" fontId="41" fillId="0" borderId="16" xfId="0" applyNumberFormat="1" applyFont="1" applyFill="1" applyBorder="1" applyAlignment="1">
      <alignment horizontal="center" vertical="center"/>
    </xf>
    <xf numFmtId="49" fontId="41" fillId="0" borderId="25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0" fillId="0" borderId="27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1" fillId="0" borderId="48" xfId="15" applyNumberFormat="1" applyFont="1" applyFill="1" applyBorder="1" applyAlignment="1">
      <alignment horizontal="center" vertical="center" wrapText="1"/>
    </xf>
    <xf numFmtId="0" fontId="1" fillId="0" borderId="34" xfId="15" applyNumberFormat="1" applyFont="1" applyFill="1" applyBorder="1" applyAlignment="1">
      <alignment horizontal="center" vertical="center" wrapText="1"/>
    </xf>
    <xf numFmtId="0" fontId="12" fillId="0" borderId="73" xfId="15" applyFont="1" applyBorder="1" applyAlignment="1">
      <alignment horizontal="center" vertical="center"/>
    </xf>
    <xf numFmtId="0" fontId="12" fillId="0" borderId="7" xfId="15" applyFont="1" applyBorder="1" applyAlignment="1">
      <alignment horizontal="center" vertical="center"/>
    </xf>
    <xf numFmtId="3" fontId="12" fillId="0" borderId="28" xfId="15" applyNumberFormat="1" applyFont="1" applyFill="1" applyBorder="1" applyAlignment="1">
      <alignment horizontal="center"/>
    </xf>
    <xf numFmtId="3" fontId="12" fillId="0" borderId="29" xfId="15" applyNumberFormat="1" applyFont="1" applyFill="1" applyBorder="1" applyAlignment="1">
      <alignment horizontal="center"/>
    </xf>
    <xf numFmtId="0" fontId="12" fillId="0" borderId="16" xfId="15" applyFill="1" applyBorder="1" applyAlignment="1">
      <alignment horizontal="center"/>
    </xf>
    <xf numFmtId="0" fontId="12" fillId="0" borderId="17" xfId="15" applyFill="1" applyBorder="1" applyAlignment="1">
      <alignment horizontal="center"/>
    </xf>
    <xf numFmtId="3" fontId="12" fillId="0" borderId="25" xfId="15" applyNumberFormat="1" applyFont="1" applyFill="1" applyBorder="1" applyAlignment="1">
      <alignment horizontal="center"/>
    </xf>
    <xf numFmtId="3" fontId="12" fillId="0" borderId="17" xfId="15" applyNumberFormat="1" applyFont="1" applyFill="1" applyBorder="1" applyAlignment="1">
      <alignment horizontal="center"/>
    </xf>
    <xf numFmtId="0" fontId="16" fillId="0" borderId="42" xfId="15" applyFont="1" applyBorder="1" applyAlignment="1">
      <alignment horizontal="center" wrapText="1"/>
    </xf>
    <xf numFmtId="0" fontId="16" fillId="0" borderId="43" xfId="15" applyFont="1" applyBorder="1" applyAlignment="1">
      <alignment horizontal="center" wrapText="1"/>
    </xf>
    <xf numFmtId="0" fontId="16" fillId="0" borderId="44" xfId="15" applyFont="1" applyBorder="1" applyAlignment="1">
      <alignment horizontal="center" wrapText="1"/>
    </xf>
    <xf numFmtId="9" fontId="19" fillId="0" borderId="20" xfId="15" applyNumberFormat="1" applyFont="1" applyFill="1" applyBorder="1" applyAlignment="1">
      <alignment horizontal="center"/>
    </xf>
    <xf numFmtId="9" fontId="19" fillId="0" borderId="26" xfId="15" applyNumberFormat="1" applyFont="1" applyFill="1" applyBorder="1" applyAlignment="1">
      <alignment horizontal="center"/>
    </xf>
    <xf numFmtId="0" fontId="12" fillId="0" borderId="65" xfId="15" applyFont="1" applyBorder="1" applyAlignment="1">
      <alignment horizontal="center"/>
    </xf>
    <xf numFmtId="0" fontId="12" fillId="0" borderId="36" xfId="15" applyFont="1" applyBorder="1" applyAlignment="1">
      <alignment horizontal="center"/>
    </xf>
    <xf numFmtId="0" fontId="16" fillId="0" borderId="20" xfId="15" applyFont="1" applyBorder="1" applyAlignment="1">
      <alignment horizontal="center" vertical="center" wrapText="1"/>
    </xf>
    <xf numFmtId="0" fontId="16" fillId="0" borderId="26" xfId="15" applyFont="1" applyBorder="1" applyAlignment="1">
      <alignment horizontal="center" vertical="center" wrapText="1"/>
    </xf>
    <xf numFmtId="0" fontId="12" fillId="0" borderId="41" xfId="15" applyBorder="1" applyAlignment="1">
      <alignment horizontal="center"/>
    </xf>
    <xf numFmtId="0" fontId="12" fillId="0" borderId="40" xfId="15" applyBorder="1" applyAlignment="1">
      <alignment horizontal="center"/>
    </xf>
    <xf numFmtId="0" fontId="1" fillId="2" borderId="16" xfId="15" applyFont="1" applyFill="1" applyBorder="1" applyAlignment="1">
      <alignment horizontal="left"/>
    </xf>
    <xf numFmtId="0" fontId="1" fillId="2" borderId="17" xfId="15" applyFont="1" applyFill="1" applyBorder="1" applyAlignment="1">
      <alignment horizontal="left"/>
    </xf>
    <xf numFmtId="0" fontId="12" fillId="0" borderId="70" xfId="15" applyBorder="1" applyAlignment="1">
      <alignment horizontal="center"/>
    </xf>
    <xf numFmtId="0" fontId="12" fillId="0" borderId="44" xfId="15" applyBorder="1" applyAlignment="1">
      <alignment horizontal="center"/>
    </xf>
    <xf numFmtId="0" fontId="1" fillId="0" borderId="16" xfId="15" applyFont="1" applyBorder="1" applyAlignment="1">
      <alignment horizontal="left" vertical="center"/>
    </xf>
    <xf numFmtId="0" fontId="1" fillId="0" borderId="25" xfId="15" applyFont="1" applyBorder="1" applyAlignment="1">
      <alignment horizontal="left" vertical="center"/>
    </xf>
    <xf numFmtId="0" fontId="1" fillId="7" borderId="27" xfId="15" applyFont="1" applyFill="1" applyBorder="1" applyAlignment="1">
      <alignment horizontal="left" vertical="center"/>
    </xf>
    <xf numFmtId="0" fontId="1" fillId="7" borderId="29" xfId="15" applyFont="1" applyFill="1" applyBorder="1" applyAlignment="1">
      <alignment horizontal="left" vertical="center"/>
    </xf>
    <xf numFmtId="0" fontId="1" fillId="7" borderId="24" xfId="15" applyFont="1" applyFill="1" applyBorder="1" applyAlignment="1">
      <alignment horizontal="left" vertical="center"/>
    </xf>
    <xf numFmtId="0" fontId="1" fillId="7" borderId="23" xfId="15" applyFont="1" applyFill="1" applyBorder="1" applyAlignment="1">
      <alignment horizontal="left" vertical="center"/>
    </xf>
    <xf numFmtId="0" fontId="1" fillId="0" borderId="16" xfId="15" applyFont="1" applyFill="1" applyBorder="1" applyAlignment="1">
      <alignment horizontal="center" vertical="center"/>
    </xf>
    <xf numFmtId="0" fontId="1" fillId="0" borderId="25" xfId="15" applyFont="1" applyFill="1" applyBorder="1" applyAlignment="1">
      <alignment horizontal="center" vertical="center"/>
    </xf>
    <xf numFmtId="0" fontId="16" fillId="0" borderId="65" xfId="15" applyFont="1" applyBorder="1" applyAlignment="1">
      <alignment horizontal="center" vertical="center" wrapText="1"/>
    </xf>
    <xf numFmtId="0" fontId="16" fillId="0" borderId="52" xfId="15" applyFont="1" applyBorder="1" applyAlignment="1">
      <alignment horizontal="center" vertical="center" wrapText="1"/>
    </xf>
    <xf numFmtId="0" fontId="12" fillId="0" borderId="48" xfId="15" applyBorder="1" applyAlignment="1">
      <alignment horizontal="center"/>
    </xf>
    <xf numFmtId="0" fontId="12" fillId="0" borderId="26" xfId="15" applyBorder="1" applyAlignment="1">
      <alignment horizontal="center"/>
    </xf>
    <xf numFmtId="0" fontId="12" fillId="0" borderId="73" xfId="15" applyBorder="1" applyAlignment="1">
      <alignment horizontal="center"/>
    </xf>
    <xf numFmtId="0" fontId="12" fillId="0" borderId="36" xfId="15" applyBorder="1" applyAlignment="1">
      <alignment horizontal="center"/>
    </xf>
    <xf numFmtId="0" fontId="16" fillId="0" borderId="70" xfId="15" applyFont="1" applyBorder="1" applyAlignment="1">
      <alignment horizontal="center" wrapText="1"/>
    </xf>
    <xf numFmtId="0" fontId="12" fillId="0" borderId="42" xfId="15" applyFill="1" applyBorder="1" applyAlignment="1">
      <alignment horizontal="center"/>
    </xf>
    <xf numFmtId="0" fontId="12" fillId="0" borderId="43" xfId="15" applyFill="1" applyBorder="1" applyAlignment="1">
      <alignment horizontal="center"/>
    </xf>
    <xf numFmtId="0" fontId="12" fillId="0" borderId="44" xfId="15" applyFill="1" applyBorder="1" applyAlignment="1">
      <alignment horizont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6" fillId="0" borderId="23" xfId="0" applyFont="1" applyBorder="1" applyAlignment="1">
      <alignment horizontal="center" wrapText="1"/>
    </xf>
    <xf numFmtId="9" fontId="19" fillId="0" borderId="20" xfId="0" applyNumberFormat="1" applyFont="1" applyFill="1" applyBorder="1" applyAlignment="1">
      <alignment horizontal="center"/>
    </xf>
    <xf numFmtId="9" fontId="19" fillId="0" borderId="26" xfId="0" applyNumberFormat="1" applyFont="1" applyFill="1" applyBorder="1" applyAlignment="1">
      <alignment horizontal="center"/>
    </xf>
    <xf numFmtId="0" fontId="0" fillId="0" borderId="6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7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37" fillId="0" borderId="43" xfId="0" applyFont="1" applyBorder="1" applyAlignment="1">
      <alignment horizontal="center" wrapText="1"/>
    </xf>
    <xf numFmtId="0" fontId="37" fillId="0" borderId="44" xfId="0" applyFont="1" applyBorder="1" applyAlignment="1">
      <alignment horizontal="center" wrapText="1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3" fontId="0" fillId="0" borderId="16" xfId="0" applyNumberFormat="1" applyFont="1" applyFill="1" applyBorder="1" applyAlignment="1">
      <alignment horizontal="center" vertical="center"/>
    </xf>
    <xf numFmtId="3" fontId="0" fillId="0" borderId="17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70">
    <cellStyle name="20 % – Zvýraznění1" xfId="35" builtinId="30" customBuiltin="1"/>
    <cellStyle name="20 % – Zvýraznění2" xfId="39" builtinId="34" customBuiltin="1"/>
    <cellStyle name="20 % – Zvýraznění3" xfId="43" builtinId="38" customBuiltin="1"/>
    <cellStyle name="20 % – Zvýraznění4" xfId="47" builtinId="42" customBuiltin="1"/>
    <cellStyle name="20 % – Zvýraznění5" xfId="51" builtinId="46" customBuiltin="1"/>
    <cellStyle name="20 % – Zvýraznění6" xfId="55" builtinId="50" customBuiltin="1"/>
    <cellStyle name="40 % – Zvýraznění1" xfId="36" builtinId="31" customBuiltin="1"/>
    <cellStyle name="40 % – Zvýraznění2" xfId="40" builtinId="35" customBuiltin="1"/>
    <cellStyle name="40 % – Zvýraznění3" xfId="44" builtinId="39" customBuiltin="1"/>
    <cellStyle name="40 % – Zvýraznění4" xfId="48" builtinId="43" customBuiltin="1"/>
    <cellStyle name="40 % – Zvýraznění5" xfId="52" builtinId="47" customBuiltin="1"/>
    <cellStyle name="40 % – Zvýraznění6" xfId="56" builtinId="51" customBuiltin="1"/>
    <cellStyle name="60 % – Zvýraznění1" xfId="37" builtinId="32" customBuiltin="1"/>
    <cellStyle name="60 % – Zvýraznění2" xfId="41" builtinId="36" customBuiltin="1"/>
    <cellStyle name="60 % – Zvýraznění3" xfId="45" builtinId="40" customBuiltin="1"/>
    <cellStyle name="60 % – Zvýraznění4" xfId="49" builtinId="44" customBuiltin="1"/>
    <cellStyle name="60 % – Zvýraznění5" xfId="53" builtinId="48" customBuiltin="1"/>
    <cellStyle name="60 % – Zvýraznění6" xfId="57" builtinId="52" customBuiltin="1"/>
    <cellStyle name="Celkem" xfId="33" builtinId="25" customBuiltin="1"/>
    <cellStyle name="Čárka" xfId="62" builtinId="3"/>
    <cellStyle name="čárky 2" xfId="2"/>
    <cellStyle name="Excel_BuiltIn_Neutrální" xfId="3"/>
    <cellStyle name="Kontrolní buňka" xfId="29" builtinId="23" customBuiltin="1"/>
    <cellStyle name="měny 2" xfId="4"/>
    <cellStyle name="měny 2 2" xfId="5"/>
    <cellStyle name="Nadpis 1" xfId="18" builtinId="16" customBuiltin="1"/>
    <cellStyle name="Nadpis 2" xfId="19" builtinId="17" customBuiltin="1"/>
    <cellStyle name="Nadpis 3" xfId="20" builtinId="18" customBuiltin="1"/>
    <cellStyle name="Nadpis 4" xfId="21" builtinId="19" customBuiltin="1"/>
    <cellStyle name="Název" xfId="17" builtinId="15" customBuiltin="1"/>
    <cellStyle name="Neutrální" xfId="24" builtinId="28" customBuiltin="1"/>
    <cellStyle name="Normální" xfId="0" builtinId="0"/>
    <cellStyle name="Normální 10" xfId="6"/>
    <cellStyle name="Normální 11" xfId="15"/>
    <cellStyle name="Normální 11 2" xfId="16"/>
    <cellStyle name="Normální 11 2 2" xfId="67"/>
    <cellStyle name="Normální 12" xfId="58"/>
    <cellStyle name="Normální 12 2" xfId="68"/>
    <cellStyle name="Normální 13" xfId="63"/>
    <cellStyle name="Normální 13 2" xfId="69"/>
    <cellStyle name="Normální 2" xfId="1"/>
    <cellStyle name="normální 2 2" xfId="60"/>
    <cellStyle name="normální 2 3" xfId="64"/>
    <cellStyle name="Normální 3" xfId="7"/>
    <cellStyle name="Normální 4" xfId="8"/>
    <cellStyle name="Normální 5" xfId="9"/>
    <cellStyle name="Normální 6" xfId="10"/>
    <cellStyle name="Normální 7" xfId="11"/>
    <cellStyle name="Normální 8" xfId="12"/>
    <cellStyle name="Normální 9" xfId="13"/>
    <cellStyle name="Poznámka" xfId="31" builtinId="10" customBuiltin="1"/>
    <cellStyle name="Poznámka 2" xfId="66"/>
    <cellStyle name="procent 2" xfId="14"/>
    <cellStyle name="Procenta 2" xfId="59"/>
    <cellStyle name="Procenta 3" xfId="65"/>
    <cellStyle name="Propojená buňka" xfId="28" builtinId="24" customBuiltin="1"/>
    <cellStyle name="Správně" xfId="22" builtinId="26" customBuiltin="1"/>
    <cellStyle name="Styl 1" xfId="61"/>
    <cellStyle name="Špatně" xfId="23" builtinId="27" customBuiltin="1"/>
    <cellStyle name="Text upozornění" xfId="30" builtinId="11" customBuiltin="1"/>
    <cellStyle name="Vstup" xfId="25" builtinId="20" customBuiltin="1"/>
    <cellStyle name="Výpočet" xfId="27" builtinId="22" customBuiltin="1"/>
    <cellStyle name="Výstup" xfId="26" builtinId="21" customBuiltin="1"/>
    <cellStyle name="Vysvětlující text" xfId="32" builtinId="53" customBuiltin="1"/>
    <cellStyle name="Zvýraznění 1" xfId="34" builtinId="29" customBuiltin="1"/>
    <cellStyle name="Zvýraznění 2" xfId="38" builtinId="33" customBuiltin="1"/>
    <cellStyle name="Zvýraznění 3" xfId="42" builtinId="37" customBuiltin="1"/>
    <cellStyle name="Zvýraznění 4" xfId="46" builtinId="41" customBuiltin="1"/>
    <cellStyle name="Zvýraznění 5" xfId="50" builtinId="45" customBuiltin="1"/>
    <cellStyle name="Zvýraznění 6" xfId="54" builtinId="49" customBuiltin="1"/>
  </cellStyles>
  <dxfs count="0"/>
  <tableStyles count="0" defaultTableStyle="TableStyleMedium2" defaultPivotStyle="PivotStyleLight16"/>
  <colors>
    <mruColors>
      <color rgb="FFF8E2D6"/>
      <color rgb="FFFFFF99"/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Q74"/>
  <sheetViews>
    <sheetView tabSelected="1" zoomScale="80" zoomScaleNormal="80" workbookViewId="0">
      <pane xSplit="3" ySplit="6" topLeftCell="K25" activePane="bottomRight" state="frozen"/>
      <selection pane="topRight" activeCell="D1" sqref="D1"/>
      <selection pane="bottomLeft" activeCell="A7" sqref="A7"/>
      <selection pane="bottomRight" activeCell="M28" sqref="M28"/>
    </sheetView>
  </sheetViews>
  <sheetFormatPr defaultColWidth="9.140625" defaultRowHeight="15" x14ac:dyDescent="0.25"/>
  <cols>
    <col min="1" max="1" width="2.28515625" style="30" customWidth="1"/>
    <col min="2" max="2" width="27.7109375" style="30" customWidth="1"/>
    <col min="3" max="3" width="13.42578125" style="30" customWidth="1"/>
    <col min="4" max="6" width="12.140625" style="61" customWidth="1"/>
    <col min="7" max="7" width="15.42578125" style="61" customWidth="1"/>
    <col min="8" max="8" width="14" style="60" customWidth="1"/>
    <col min="9" max="9" width="12.42578125" style="60" customWidth="1"/>
    <col min="10" max="10" width="14.42578125" style="60" customWidth="1"/>
    <col min="11" max="13" width="12.42578125" style="60" customWidth="1"/>
    <col min="14" max="14" width="17.85546875" style="7" customWidth="1"/>
    <col min="15" max="15" width="13" style="7" customWidth="1"/>
    <col min="16" max="16" width="21.28515625" style="3" customWidth="1"/>
    <col min="17" max="18" width="8.7109375" style="5" customWidth="1"/>
    <col min="19" max="20" width="9.140625" style="61" customWidth="1"/>
    <col min="21" max="21" width="9.140625" style="400" customWidth="1"/>
    <col min="22" max="22" width="9.7109375" style="400" customWidth="1"/>
    <col min="23" max="23" width="9.140625" style="61" customWidth="1"/>
    <col min="24" max="24" width="16.7109375" style="60" customWidth="1"/>
    <col min="25" max="25" width="10.140625" style="61" customWidth="1"/>
    <col min="26" max="26" width="11.85546875" style="60" customWidth="1"/>
    <col min="27" max="28" width="9.140625" customWidth="1"/>
    <col min="29" max="29" width="9.140625" style="400" customWidth="1"/>
    <col min="30" max="30" width="9.7109375" style="400" customWidth="1"/>
    <col min="31" max="31" width="9.140625" style="30" customWidth="1"/>
    <col min="32" max="32" width="16.7109375" style="60" customWidth="1"/>
    <col min="33" max="33" width="10.140625" style="30" customWidth="1"/>
    <col min="34" max="34" width="11.85546875" style="60" customWidth="1"/>
    <col min="35" max="35" width="8.28515625" style="30" customWidth="1"/>
    <col min="36" max="36" width="13.5703125" style="30" customWidth="1"/>
    <col min="37" max="37" width="13.28515625" style="30" customWidth="1"/>
    <col min="38" max="16384" width="9.140625" style="30"/>
  </cols>
  <sheetData>
    <row r="1" spans="2:34" ht="18.75" x14ac:dyDescent="0.3">
      <c r="B1" s="534" t="s">
        <v>125</v>
      </c>
      <c r="C1" s="3"/>
      <c r="N1" s="8"/>
      <c r="O1" s="458"/>
    </row>
    <row r="2" spans="2:34" ht="18.75" x14ac:dyDescent="0.3">
      <c r="B2" s="535" t="s">
        <v>163</v>
      </c>
      <c r="C2" s="3"/>
      <c r="N2" s="466">
        <f>N9/N7%</f>
        <v>19.780202896476229</v>
      </c>
      <c r="O2" s="466">
        <f>O9/O7%</f>
        <v>19.78020289647624</v>
      </c>
    </row>
    <row r="3" spans="2:34" ht="15.75" thickBot="1" x14ac:dyDescent="0.3"/>
    <row r="4" spans="2:34" ht="37.5" customHeight="1" thickBot="1" x14ac:dyDescent="0.3">
      <c r="B4" s="632" t="s">
        <v>62</v>
      </c>
      <c r="C4" s="633"/>
      <c r="D4" s="636" t="s">
        <v>179</v>
      </c>
      <c r="E4" s="637"/>
      <c r="F4" s="638"/>
      <c r="G4" s="610" t="s">
        <v>180</v>
      </c>
      <c r="H4" s="628" t="s">
        <v>165</v>
      </c>
      <c r="I4" s="629"/>
      <c r="J4" s="628" t="s">
        <v>164</v>
      </c>
      <c r="K4" s="629"/>
      <c r="L4" s="644" t="s">
        <v>172</v>
      </c>
      <c r="M4" s="645"/>
      <c r="N4" s="626" t="s">
        <v>166</v>
      </c>
      <c r="O4" s="627"/>
      <c r="P4" s="569" t="s">
        <v>167</v>
      </c>
      <c r="Q4" s="396"/>
      <c r="R4" s="396"/>
      <c r="S4" s="641" t="s">
        <v>168</v>
      </c>
      <c r="T4" s="642"/>
      <c r="U4" s="642"/>
      <c r="V4" s="643"/>
      <c r="W4" s="61" t="s">
        <v>170</v>
      </c>
      <c r="AA4" s="641" t="s">
        <v>169</v>
      </c>
      <c r="AB4" s="642"/>
      <c r="AC4" s="642"/>
      <c r="AD4" s="643"/>
      <c r="AE4" s="30" t="s">
        <v>171</v>
      </c>
    </row>
    <row r="5" spans="2:34" ht="16.5" customHeight="1" thickBot="1" x14ac:dyDescent="0.3">
      <c r="B5" s="634"/>
      <c r="C5" s="635"/>
      <c r="D5" s="608" t="s">
        <v>28</v>
      </c>
      <c r="E5" s="608" t="s">
        <v>178</v>
      </c>
      <c r="F5" s="608" t="s">
        <v>27</v>
      </c>
      <c r="G5" s="608" t="s">
        <v>27</v>
      </c>
      <c r="H5" s="55" t="s">
        <v>84</v>
      </c>
      <c r="I5" s="452" t="s">
        <v>105</v>
      </c>
      <c r="J5" s="55" t="s">
        <v>84</v>
      </c>
      <c r="K5" s="452" t="s">
        <v>105</v>
      </c>
      <c r="L5" s="55" t="s">
        <v>84</v>
      </c>
      <c r="M5" s="452" t="s">
        <v>105</v>
      </c>
      <c r="N5" s="55" t="s">
        <v>84</v>
      </c>
      <c r="O5" s="452" t="s">
        <v>105</v>
      </c>
      <c r="P5" s="570"/>
      <c r="Q5" s="392"/>
      <c r="R5" s="392"/>
      <c r="S5" s="440" t="s">
        <v>49</v>
      </c>
      <c r="T5" s="428" t="s">
        <v>50</v>
      </c>
      <c r="U5" s="646" t="s">
        <v>132</v>
      </c>
      <c r="V5" s="647"/>
      <c r="W5" s="440" t="s">
        <v>49</v>
      </c>
      <c r="X5" s="428" t="s">
        <v>50</v>
      </c>
      <c r="Y5" s="646" t="s">
        <v>132</v>
      </c>
      <c r="Z5" s="647"/>
      <c r="AA5" s="440" t="s">
        <v>49</v>
      </c>
      <c r="AB5" s="428" t="s">
        <v>50</v>
      </c>
      <c r="AC5" s="646" t="s">
        <v>132</v>
      </c>
      <c r="AD5" s="647"/>
      <c r="AE5" s="440" t="s">
        <v>49</v>
      </c>
      <c r="AF5" s="428" t="s">
        <v>50</v>
      </c>
      <c r="AG5" s="646" t="s">
        <v>132</v>
      </c>
      <c r="AH5" s="647"/>
    </row>
    <row r="6" spans="2:34" ht="69.75" customHeight="1" thickBot="1" x14ac:dyDescent="0.3">
      <c r="B6" s="555"/>
      <c r="C6" s="556"/>
      <c r="D6" s="454"/>
      <c r="E6" s="550"/>
      <c r="F6" s="550"/>
      <c r="G6" s="550"/>
      <c r="H6" s="468"/>
      <c r="I6" s="468"/>
      <c r="J6" s="468"/>
      <c r="K6" s="468"/>
      <c r="L6" s="468"/>
      <c r="M6" s="468"/>
      <c r="N6" s="553"/>
      <c r="O6" s="554"/>
      <c r="P6" s="374"/>
      <c r="Q6" s="392"/>
      <c r="R6" s="392"/>
      <c r="S6" s="441"/>
      <c r="T6" s="509"/>
      <c r="U6" s="544"/>
      <c r="V6" s="544"/>
      <c r="W6" s="580"/>
      <c r="X6" s="581"/>
      <c r="Y6" s="580"/>
      <c r="Z6" s="581"/>
      <c r="AA6" s="580"/>
      <c r="AB6" s="580"/>
      <c r="AC6" s="544"/>
      <c r="AD6" s="544"/>
      <c r="AE6" s="580"/>
      <c r="AF6" s="581"/>
      <c r="AG6" s="580"/>
      <c r="AH6" s="581"/>
    </row>
    <row r="7" spans="2:34" ht="18.75" customHeight="1" thickBot="1" x14ac:dyDescent="0.3">
      <c r="B7" s="618" t="s">
        <v>88</v>
      </c>
      <c r="C7" s="619"/>
      <c r="D7" s="571"/>
      <c r="E7" s="572"/>
      <c r="F7" s="572"/>
      <c r="G7" s="572"/>
      <c r="H7" s="594">
        <v>338796.9</v>
      </c>
      <c r="I7" s="573">
        <v>317019.78499999997</v>
      </c>
      <c r="J7" s="573"/>
      <c r="K7" s="573"/>
      <c r="L7" s="573"/>
      <c r="M7" s="573"/>
      <c r="N7" s="537">
        <f>H7-J9</f>
        <v>282848.82794264075</v>
      </c>
      <c r="O7" s="537">
        <f>I7-K9</f>
        <v>264667.9312056218</v>
      </c>
      <c r="P7" s="453">
        <f>N7+O7</f>
        <v>547516.75914826256</v>
      </c>
      <c r="Q7" s="394"/>
      <c r="R7" s="394"/>
      <c r="S7" s="442">
        <v>276461.78899999999</v>
      </c>
      <c r="T7" s="517">
        <v>242567.52500000002</v>
      </c>
      <c r="U7" s="542">
        <f>S7+T7</f>
        <v>519029.31400000001</v>
      </c>
      <c r="V7" s="544"/>
      <c r="W7" s="582">
        <f>N7-S7</f>
        <v>6387.0389426407637</v>
      </c>
      <c r="X7" s="582">
        <f>O7-T7</f>
        <v>22100.406205621781</v>
      </c>
      <c r="Y7" s="582">
        <f>P7-U7</f>
        <v>28487.445148262545</v>
      </c>
      <c r="Z7" s="581"/>
      <c r="AA7" s="542">
        <v>250062</v>
      </c>
      <c r="AB7" s="542">
        <v>193054</v>
      </c>
      <c r="AC7" s="542">
        <f>AA7+AB7</f>
        <v>443116</v>
      </c>
      <c r="AD7" s="544"/>
      <c r="AE7" s="582">
        <f>N7-AA7</f>
        <v>32786.827942640753</v>
      </c>
      <c r="AF7" s="582">
        <f>O7-AB7</f>
        <v>71613.931205621804</v>
      </c>
      <c r="AG7" s="582">
        <f>P7-AC7</f>
        <v>104400.75914826256</v>
      </c>
      <c r="AH7" s="581"/>
    </row>
    <row r="8" spans="2:34" ht="15.75" thickBot="1" x14ac:dyDescent="0.3">
      <c r="B8" s="43" t="s">
        <v>103</v>
      </c>
      <c r="C8" s="353"/>
      <c r="D8" s="382"/>
      <c r="E8" s="382"/>
      <c r="F8" s="382"/>
      <c r="G8" s="382"/>
      <c r="H8" s="557"/>
      <c r="I8" s="557"/>
      <c r="J8" s="557">
        <v>0.16513749699999999</v>
      </c>
      <c r="K8" s="557">
        <f>J8</f>
        <v>0.16513749699999999</v>
      </c>
      <c r="L8" s="557"/>
      <c r="M8" s="557"/>
      <c r="N8" s="50"/>
      <c r="O8" s="57"/>
      <c r="P8" s="56"/>
      <c r="Q8" s="394"/>
      <c r="R8" s="394"/>
      <c r="S8" s="441"/>
      <c r="T8" s="509"/>
      <c r="U8" s="542"/>
      <c r="V8" s="544"/>
      <c r="W8" s="582"/>
      <c r="X8" s="582"/>
      <c r="Y8" s="582"/>
      <c r="Z8" s="582"/>
      <c r="AA8" s="580"/>
      <c r="AB8" s="580"/>
      <c r="AC8" s="542"/>
      <c r="AD8" s="544"/>
      <c r="AE8" s="582"/>
      <c r="AF8" s="582"/>
      <c r="AG8" s="582"/>
      <c r="AH8" s="582"/>
    </row>
    <row r="9" spans="2:34" ht="15.75" thickBot="1" x14ac:dyDescent="0.3">
      <c r="B9" s="630"/>
      <c r="C9" s="631"/>
      <c r="D9" s="56"/>
      <c r="E9" s="56"/>
      <c r="F9" s="56"/>
      <c r="G9" s="56"/>
      <c r="H9" s="471"/>
      <c r="I9" s="471"/>
      <c r="J9" s="471">
        <f>H7*J8</f>
        <v>55948.072057359299</v>
      </c>
      <c r="K9" s="471">
        <f>I7*K8</f>
        <v>52351.853794378141</v>
      </c>
      <c r="L9" s="471"/>
      <c r="M9" s="471"/>
      <c r="N9" s="566">
        <f>J9</f>
        <v>55948.072057359299</v>
      </c>
      <c r="O9" s="566">
        <f>K9</f>
        <v>52351.853794378141</v>
      </c>
      <c r="P9" s="483">
        <f>N9+O9</f>
        <v>108299.92585173744</v>
      </c>
      <c r="Q9" s="397"/>
      <c r="R9" s="397"/>
      <c r="S9" s="536">
        <v>55647.784</v>
      </c>
      <c r="T9" s="575">
        <v>49026.750999999997</v>
      </c>
      <c r="U9" s="542">
        <v>104674.535</v>
      </c>
      <c r="V9" s="583"/>
      <c r="W9" s="582">
        <f>N9-S9</f>
        <v>300.28805735929927</v>
      </c>
      <c r="X9" s="582">
        <f>O9-T9</f>
        <v>3325.1027943781446</v>
      </c>
      <c r="Y9" s="582">
        <f>P9-U9</f>
        <v>3625.3908517374366</v>
      </c>
      <c r="Z9" s="584"/>
      <c r="AA9" s="542">
        <v>33378</v>
      </c>
      <c r="AB9" s="542">
        <v>53365</v>
      </c>
      <c r="AC9" s="542">
        <f t="shared" ref="AC9:AC61" si="0">AA9+AB9</f>
        <v>86743</v>
      </c>
      <c r="AD9" s="583"/>
      <c r="AE9" s="582">
        <f>N9-AA9</f>
        <v>22570.072057359299</v>
      </c>
      <c r="AF9" s="582">
        <f>O9-AB9</f>
        <v>-1013.1462056218588</v>
      </c>
      <c r="AG9" s="582">
        <f>P9-AC9</f>
        <v>21556.92585173744</v>
      </c>
      <c r="AH9" s="584"/>
    </row>
    <row r="10" spans="2:34" ht="15.75" thickBot="1" x14ac:dyDescent="0.3">
      <c r="B10" s="620"/>
      <c r="C10" s="621"/>
      <c r="D10" s="383"/>
      <c r="E10" s="383"/>
      <c r="F10" s="383"/>
      <c r="G10" s="383"/>
      <c r="H10" s="560"/>
      <c r="I10" s="560"/>
      <c r="J10" s="560"/>
      <c r="K10" s="560"/>
      <c r="L10" s="560"/>
      <c r="M10" s="560"/>
      <c r="N10" s="561"/>
      <c r="O10" s="39"/>
      <c r="P10" s="562"/>
      <c r="Q10" s="392"/>
      <c r="R10" s="392"/>
      <c r="S10" s="442"/>
      <c r="T10" s="517"/>
      <c r="U10" s="542"/>
      <c r="V10" s="544"/>
      <c r="W10" s="582"/>
      <c r="X10" s="582"/>
      <c r="Y10" s="582"/>
      <c r="Z10" s="585"/>
      <c r="AA10" s="580"/>
      <c r="AB10" s="580"/>
      <c r="AC10" s="542"/>
      <c r="AD10" s="544"/>
      <c r="AE10" s="582"/>
      <c r="AF10" s="582"/>
      <c r="AG10" s="582"/>
      <c r="AH10" s="585"/>
    </row>
    <row r="11" spans="2:34" ht="15.75" thickBot="1" x14ac:dyDescent="0.3">
      <c r="B11" s="622" t="s">
        <v>135</v>
      </c>
      <c r="C11" s="623"/>
      <c r="D11" s="607">
        <v>45929</v>
      </c>
      <c r="E11" s="607">
        <v>4348</v>
      </c>
      <c r="F11" s="607">
        <v>3866</v>
      </c>
      <c r="G11" s="607"/>
      <c r="H11" s="558"/>
      <c r="I11" s="558"/>
      <c r="J11" s="606">
        <v>0.18</v>
      </c>
      <c r="K11" s="606">
        <f>J11</f>
        <v>0.18</v>
      </c>
      <c r="L11" s="558"/>
      <c r="M11" s="558"/>
      <c r="N11" s="545"/>
      <c r="O11" s="49"/>
      <c r="P11" s="42"/>
      <c r="Q11" s="392"/>
      <c r="R11" s="392"/>
      <c r="S11" s="441"/>
      <c r="T11" s="509"/>
      <c r="U11" s="542"/>
      <c r="V11" s="544"/>
      <c r="W11" s="582"/>
      <c r="X11" s="582"/>
      <c r="Y11" s="582"/>
      <c r="Z11" s="585"/>
      <c r="AA11" s="580"/>
      <c r="AB11" s="580"/>
      <c r="AC11" s="542"/>
      <c r="AD11" s="544"/>
      <c r="AE11" s="582"/>
      <c r="AF11" s="582"/>
      <c r="AG11" s="582"/>
      <c r="AH11" s="585"/>
    </row>
    <row r="12" spans="2:34" ht="15.75" thickBot="1" x14ac:dyDescent="0.3">
      <c r="B12" s="624"/>
      <c r="C12" s="625"/>
      <c r="D12" s="385"/>
      <c r="E12" s="385"/>
      <c r="F12" s="385"/>
      <c r="G12" s="385"/>
      <c r="H12" s="385"/>
      <c r="I12" s="385"/>
      <c r="J12" s="385">
        <f>H7*J11</f>
        <v>60983.442000000003</v>
      </c>
      <c r="K12" s="385">
        <f>I7*K11</f>
        <v>57063.561299999994</v>
      </c>
      <c r="L12" s="385"/>
      <c r="M12" s="385"/>
      <c r="N12" s="352">
        <f>J12+L12</f>
        <v>60983.442000000003</v>
      </c>
      <c r="O12" s="352">
        <f>K12+M12</f>
        <v>57063.561299999994</v>
      </c>
      <c r="P12" s="42">
        <f>N12+O12</f>
        <v>118047.0033</v>
      </c>
      <c r="Q12" s="395"/>
      <c r="R12" s="395"/>
      <c r="S12" s="410">
        <v>44085.087899999991</v>
      </c>
      <c r="T12" s="410">
        <v>50115.302840000011</v>
      </c>
      <c r="U12" s="542">
        <v>95144.274109999998</v>
      </c>
      <c r="V12" s="583"/>
      <c r="W12" s="582">
        <f>N12-S12</f>
        <v>16898.354100000011</v>
      </c>
      <c r="X12" s="582">
        <f>O12-T12</f>
        <v>6948.2584599999827</v>
      </c>
      <c r="Y12" s="582">
        <f>P12-U12</f>
        <v>22902.729189999998</v>
      </c>
      <c r="Z12" s="580"/>
      <c r="AA12" s="542">
        <v>40416</v>
      </c>
      <c r="AB12" s="542">
        <v>42738.41</v>
      </c>
      <c r="AC12" s="542">
        <f t="shared" si="0"/>
        <v>83154.41</v>
      </c>
      <c r="AD12" s="583"/>
      <c r="AE12" s="582">
        <f>N12-AA12</f>
        <v>20567.442000000003</v>
      </c>
      <c r="AF12" s="582">
        <f>O12-AB12</f>
        <v>14325.15129999999</v>
      </c>
      <c r="AG12" s="582">
        <f>P12-AC12</f>
        <v>34892.593299999993</v>
      </c>
      <c r="AH12" s="580"/>
    </row>
    <row r="13" spans="2:34" ht="15.75" thickBot="1" x14ac:dyDescent="0.3">
      <c r="B13" s="20" t="s">
        <v>138</v>
      </c>
      <c r="C13" s="21">
        <v>3740</v>
      </c>
      <c r="D13" s="425">
        <v>-38170.116999999998</v>
      </c>
      <c r="E13" s="426">
        <v>171.935</v>
      </c>
      <c r="F13" s="426">
        <v>68.545000000000002</v>
      </c>
      <c r="G13" s="609"/>
      <c r="H13" s="559"/>
      <c r="I13" s="559"/>
      <c r="J13" s="559"/>
      <c r="K13" s="559"/>
      <c r="L13" s="559"/>
      <c r="M13" s="559"/>
      <c r="N13" s="559"/>
      <c r="O13" s="559"/>
      <c r="P13" s="559"/>
      <c r="Q13" s="393"/>
      <c r="R13" s="393"/>
      <c r="S13" s="485"/>
      <c r="T13" s="576"/>
      <c r="U13" s="542"/>
      <c r="V13" s="586">
        <v>0</v>
      </c>
      <c r="W13" s="582"/>
      <c r="X13" s="582"/>
      <c r="Y13" s="582"/>
      <c r="Z13" s="580"/>
      <c r="AA13" s="587"/>
      <c r="AB13" s="587"/>
      <c r="AC13" s="542"/>
      <c r="AD13" s="586"/>
      <c r="AE13" s="582"/>
      <c r="AF13" s="582"/>
      <c r="AG13" s="582"/>
      <c r="AH13" s="580"/>
    </row>
    <row r="14" spans="2:34" ht="15.75" thickBot="1" x14ac:dyDescent="0.3">
      <c r="B14" s="639" t="s">
        <v>104</v>
      </c>
      <c r="C14" s="640"/>
      <c r="D14" s="354"/>
      <c r="E14" s="372"/>
      <c r="F14" s="372"/>
      <c r="G14" s="372"/>
      <c r="H14" s="475"/>
      <c r="I14" s="475"/>
      <c r="J14" s="563">
        <f>J9+J12</f>
        <v>116931.51405735931</v>
      </c>
      <c r="K14" s="563">
        <f t="shared" ref="K14" si="1">K9+K12</f>
        <v>109415.41509437814</v>
      </c>
      <c r="L14" s="564"/>
      <c r="M14" s="564"/>
      <c r="N14" s="568">
        <f>J14</f>
        <v>116931.51405735931</v>
      </c>
      <c r="O14" s="568">
        <f>K14</f>
        <v>109415.41509437814</v>
      </c>
      <c r="P14" s="567">
        <f>N14+O14</f>
        <v>226346.92915173745</v>
      </c>
      <c r="Q14" s="391"/>
      <c r="R14" s="391"/>
      <c r="S14" s="441"/>
      <c r="T14" s="509"/>
      <c r="U14" s="542"/>
      <c r="V14" s="588"/>
      <c r="W14" s="582">
        <f t="shared" ref="W14:W61" si="2">N14-S14</f>
        <v>116931.51405735931</v>
      </c>
      <c r="X14" s="582">
        <f t="shared" ref="X14:X61" si="3">O14-T14</f>
        <v>109415.41509437814</v>
      </c>
      <c r="Y14" s="582">
        <f t="shared" ref="Y14:Y61" si="4">P14-U14</f>
        <v>226346.92915173745</v>
      </c>
      <c r="Z14" s="580"/>
      <c r="AA14" s="580"/>
      <c r="AB14" s="580"/>
      <c r="AC14" s="542">
        <f t="shared" si="0"/>
        <v>0</v>
      </c>
      <c r="AD14" s="588"/>
      <c r="AE14" s="582">
        <f t="shared" ref="AE14:AE61" si="5">N14-AA14</f>
        <v>116931.51405735931</v>
      </c>
      <c r="AF14" s="582">
        <f t="shared" ref="AF14:AF61" si="6">O14-AB14</f>
        <v>109415.41509437814</v>
      </c>
      <c r="AG14" s="582">
        <f t="shared" ref="AG14:AG61" si="7">P14-AC14</f>
        <v>226346.92915173745</v>
      </c>
      <c r="AH14" s="580"/>
    </row>
    <row r="15" spans="2:34" s="61" customFormat="1" ht="15.75" thickBot="1" x14ac:dyDescent="0.3">
      <c r="B15" s="51" t="s">
        <v>161</v>
      </c>
      <c r="C15" s="354"/>
      <c r="D15" s="386"/>
      <c r="E15" s="386"/>
      <c r="F15" s="386"/>
      <c r="G15" s="386"/>
      <c r="H15" s="475">
        <v>250</v>
      </c>
      <c r="I15" s="475"/>
      <c r="J15" s="475">
        <v>250</v>
      </c>
      <c r="K15" s="475"/>
      <c r="L15" s="475"/>
      <c r="M15" s="475"/>
      <c r="N15" s="546">
        <v>250</v>
      </c>
      <c r="O15" s="381"/>
      <c r="P15" s="504"/>
      <c r="Q15" s="392"/>
      <c r="R15" s="392"/>
      <c r="S15" s="401">
        <v>300.29999999999995</v>
      </c>
      <c r="T15" s="509"/>
      <c r="U15" s="542">
        <v>300.29999999999995</v>
      </c>
      <c r="V15" s="544"/>
      <c r="W15" s="582">
        <f t="shared" si="2"/>
        <v>-50.299999999999955</v>
      </c>
      <c r="X15" s="582">
        <f t="shared" si="3"/>
        <v>0</v>
      </c>
      <c r="Y15" s="582">
        <f t="shared" si="4"/>
        <v>-300.29999999999995</v>
      </c>
      <c r="Z15" s="580"/>
      <c r="AA15" s="544">
        <v>400</v>
      </c>
      <c r="AB15" s="580"/>
      <c r="AC15" s="542">
        <f t="shared" si="0"/>
        <v>400</v>
      </c>
      <c r="AD15" s="544"/>
      <c r="AE15" s="582">
        <f t="shared" si="5"/>
        <v>-150</v>
      </c>
      <c r="AF15" s="582">
        <f t="shared" si="6"/>
        <v>0</v>
      </c>
      <c r="AG15" s="582">
        <f t="shared" si="7"/>
        <v>-400</v>
      </c>
      <c r="AH15" s="580"/>
    </row>
    <row r="16" spans="2:34" s="61" customFormat="1" ht="15.75" thickBot="1" x14ac:dyDescent="0.3">
      <c r="B16" s="51" t="s">
        <v>174</v>
      </c>
      <c r="C16" s="354"/>
      <c r="D16" s="376">
        <v>2175.14048</v>
      </c>
      <c r="E16" s="376"/>
      <c r="F16" s="376"/>
      <c r="G16" s="376"/>
      <c r="H16" s="475"/>
      <c r="I16" s="596">
        <v>2602.922</v>
      </c>
      <c r="J16" s="475"/>
      <c r="K16" s="603">
        <f>I16</f>
        <v>2602.922</v>
      </c>
      <c r="L16" s="565"/>
      <c r="M16" s="565"/>
      <c r="N16" s="547"/>
      <c r="O16" s="568">
        <f>K16</f>
        <v>2602.922</v>
      </c>
      <c r="P16" s="567">
        <f>N16+O16</f>
        <v>2602.922</v>
      </c>
      <c r="Q16" s="392"/>
      <c r="R16" s="392"/>
      <c r="S16" s="442"/>
      <c r="T16" s="410">
        <v>4629.8999999999996</v>
      </c>
      <c r="U16" s="542">
        <v>4629.8999999999996</v>
      </c>
      <c r="V16" s="544"/>
      <c r="W16" s="582">
        <f t="shared" si="2"/>
        <v>0</v>
      </c>
      <c r="X16" s="582">
        <f t="shared" si="3"/>
        <v>-2026.9779999999996</v>
      </c>
      <c r="Y16" s="582">
        <f t="shared" si="4"/>
        <v>-2026.9779999999996</v>
      </c>
      <c r="Z16" s="580"/>
      <c r="AA16" s="580"/>
      <c r="AB16" s="542">
        <v>1906.25</v>
      </c>
      <c r="AC16" s="542">
        <f t="shared" si="0"/>
        <v>1906.25</v>
      </c>
      <c r="AD16" s="544"/>
      <c r="AE16" s="582">
        <f t="shared" si="5"/>
        <v>0</v>
      </c>
      <c r="AF16" s="582">
        <f t="shared" si="6"/>
        <v>696.67200000000003</v>
      </c>
      <c r="AG16" s="582">
        <f t="shared" si="7"/>
        <v>696.67200000000003</v>
      </c>
      <c r="AH16" s="580"/>
    </row>
    <row r="17" spans="2:43" s="61" customFormat="1" ht="15.75" thickBot="1" x14ac:dyDescent="0.3">
      <c r="B17" s="51" t="s">
        <v>176</v>
      </c>
      <c r="C17" s="354"/>
      <c r="D17" s="376"/>
      <c r="E17" s="376"/>
      <c r="F17" s="376"/>
      <c r="G17" s="376"/>
      <c r="H17" s="476"/>
      <c r="I17" s="598">
        <v>498.17399999999998</v>
      </c>
      <c r="J17" s="476"/>
      <c r="K17" s="605">
        <f>I17</f>
        <v>498.17399999999998</v>
      </c>
      <c r="L17" s="565">
        <v>3000</v>
      </c>
      <c r="M17" s="565"/>
      <c r="N17" s="547"/>
      <c r="O17" s="599"/>
      <c r="P17" s="600"/>
      <c r="Q17" s="392"/>
      <c r="R17" s="392"/>
      <c r="S17" s="601"/>
      <c r="T17" s="602"/>
      <c r="U17" s="542"/>
      <c r="V17" s="544"/>
      <c r="W17" s="582"/>
      <c r="X17" s="582"/>
      <c r="Y17" s="582"/>
      <c r="Z17" s="580"/>
      <c r="AA17" s="580"/>
      <c r="AB17" s="542"/>
      <c r="AC17" s="542"/>
      <c r="AD17" s="544"/>
      <c r="AE17" s="582"/>
      <c r="AF17" s="582"/>
      <c r="AG17" s="582"/>
      <c r="AH17" s="580"/>
    </row>
    <row r="18" spans="2:43" s="61" customFormat="1" ht="15.75" thickBot="1" x14ac:dyDescent="0.3">
      <c r="B18" s="51" t="s">
        <v>177</v>
      </c>
      <c r="C18" s="354"/>
      <c r="D18" s="376"/>
      <c r="E18" s="376"/>
      <c r="F18" s="376"/>
      <c r="G18" s="376"/>
      <c r="H18" s="476"/>
      <c r="I18" s="598">
        <v>331.54599999999999</v>
      </c>
      <c r="J18" s="476"/>
      <c r="K18" s="604">
        <f>I18</f>
        <v>331.54599999999999</v>
      </c>
      <c r="L18" s="565"/>
      <c r="M18" s="565"/>
      <c r="N18" s="547"/>
      <c r="O18" s="599"/>
      <c r="P18" s="600"/>
      <c r="Q18" s="392"/>
      <c r="R18" s="392"/>
      <c r="S18" s="601"/>
      <c r="T18" s="602"/>
      <c r="U18" s="542"/>
      <c r="V18" s="544"/>
      <c r="W18" s="582"/>
      <c r="X18" s="582"/>
      <c r="Y18" s="582"/>
      <c r="Z18" s="580"/>
      <c r="AA18" s="580"/>
      <c r="AB18" s="542"/>
      <c r="AC18" s="542"/>
      <c r="AD18" s="544"/>
      <c r="AE18" s="582"/>
      <c r="AF18" s="582"/>
      <c r="AG18" s="582"/>
      <c r="AH18" s="580"/>
    </row>
    <row r="19" spans="2:43" ht="15.75" thickBot="1" x14ac:dyDescent="0.3">
      <c r="B19" s="616" t="s">
        <v>129</v>
      </c>
      <c r="C19" s="617"/>
      <c r="D19" s="574">
        <v>143663.43546000004</v>
      </c>
      <c r="E19" s="574">
        <v>31918</v>
      </c>
      <c r="F19" s="574">
        <v>18790.90481</v>
      </c>
      <c r="G19" s="574"/>
      <c r="H19" s="574">
        <f t="shared" ref="H19:P19" si="8">SUM(H20:H61)</f>
        <v>338546.90000000008</v>
      </c>
      <c r="I19" s="574">
        <f t="shared" si="8"/>
        <v>313587.1430000001</v>
      </c>
      <c r="J19" s="574">
        <f t="shared" si="8"/>
        <v>221615.38594264066</v>
      </c>
      <c r="K19" s="574">
        <f t="shared" si="8"/>
        <v>204171.72790562184</v>
      </c>
      <c r="L19" s="595">
        <f t="shared" si="8"/>
        <v>-2999.9999999999986</v>
      </c>
      <c r="M19" s="595">
        <f t="shared" si="8"/>
        <v>2.2737367544323206E-13</v>
      </c>
      <c r="N19" s="595">
        <f t="shared" si="8"/>
        <v>218615.38594264069</v>
      </c>
      <c r="O19" s="574">
        <f t="shared" si="8"/>
        <v>204171.72790562187</v>
      </c>
      <c r="P19" s="574">
        <f t="shared" si="8"/>
        <v>422787.11384826258</v>
      </c>
      <c r="Q19" s="395"/>
      <c r="R19" s="395"/>
      <c r="S19" s="433">
        <v>230959.98704301094</v>
      </c>
      <c r="T19" s="577">
        <v>188419.09726199994</v>
      </c>
      <c r="U19" s="542">
        <v>419379.08430501085</v>
      </c>
      <c r="V19" s="587">
        <v>-0.33181574250850832</v>
      </c>
      <c r="W19" s="582">
        <f t="shared" si="2"/>
        <v>-12344.601100370259</v>
      </c>
      <c r="X19" s="582">
        <f t="shared" si="3"/>
        <v>15752.630643621931</v>
      </c>
      <c r="Y19" s="582">
        <f t="shared" si="4"/>
        <v>3408.0295432517305</v>
      </c>
      <c r="Z19" s="581"/>
      <c r="AA19" s="589">
        <v>209215</v>
      </c>
      <c r="AB19" s="587">
        <v>148409.10096512677</v>
      </c>
      <c r="AC19" s="542">
        <f t="shared" si="0"/>
        <v>357624.10096512677</v>
      </c>
      <c r="AD19" s="587">
        <v>-0.33181574250850832</v>
      </c>
      <c r="AE19" s="582">
        <f t="shared" si="5"/>
        <v>9400.3859426406852</v>
      </c>
      <c r="AF19" s="582">
        <f t="shared" si="6"/>
        <v>55762.626940495102</v>
      </c>
      <c r="AG19" s="582">
        <f t="shared" si="7"/>
        <v>65163.012883135816</v>
      </c>
      <c r="AH19" s="581"/>
    </row>
    <row r="20" spans="2:43" x14ac:dyDescent="0.25">
      <c r="B20" s="20" t="s">
        <v>175</v>
      </c>
      <c r="C20" s="21">
        <v>3110</v>
      </c>
      <c r="D20" s="24">
        <v>920.03200000000004</v>
      </c>
      <c r="E20" s="551">
        <v>1</v>
      </c>
      <c r="F20" s="551">
        <v>0</v>
      </c>
      <c r="G20" s="24"/>
      <c r="H20" s="426"/>
      <c r="I20" s="426"/>
      <c r="J20" s="426"/>
      <c r="K20" s="426"/>
      <c r="L20" s="426"/>
      <c r="M20" s="426"/>
      <c r="N20" s="426"/>
      <c r="O20" s="22"/>
      <c r="P20" s="505"/>
      <c r="Q20" s="591">
        <f>SUM(P21:P23)</f>
        <v>64839.344782853448</v>
      </c>
      <c r="R20" s="597"/>
      <c r="S20" s="420">
        <v>0</v>
      </c>
      <c r="T20" s="446">
        <v>0</v>
      </c>
      <c r="U20" s="590">
        <v>0</v>
      </c>
      <c r="V20" s="591">
        <f>SUM(U21:U23)</f>
        <v>61177.487287177493</v>
      </c>
      <c r="W20" s="582">
        <f t="shared" si="2"/>
        <v>0</v>
      </c>
      <c r="X20" s="582">
        <f t="shared" si="3"/>
        <v>0</v>
      </c>
      <c r="Y20" s="582">
        <f t="shared" si="4"/>
        <v>0</v>
      </c>
      <c r="Z20" s="581"/>
      <c r="AA20" s="592"/>
      <c r="AB20" s="592">
        <v>0</v>
      </c>
      <c r="AC20" s="590">
        <f t="shared" si="0"/>
        <v>0</v>
      </c>
      <c r="AD20" s="591">
        <f>SUM(AC21:AC23)</f>
        <v>54206.928771652332</v>
      </c>
      <c r="AE20" s="593">
        <f t="shared" si="5"/>
        <v>0</v>
      </c>
      <c r="AF20" s="593">
        <f t="shared" si="6"/>
        <v>0</v>
      </c>
      <c r="AG20" s="593">
        <f t="shared" si="7"/>
        <v>0</v>
      </c>
      <c r="AH20" s="581"/>
    </row>
    <row r="21" spans="2:43" x14ac:dyDescent="0.25">
      <c r="B21" s="2" t="s">
        <v>29</v>
      </c>
      <c r="C21" s="15">
        <v>3111</v>
      </c>
      <c r="D21" s="4">
        <v>12368.832340000006</v>
      </c>
      <c r="E21" s="4">
        <v>157</v>
      </c>
      <c r="F21" s="4">
        <v>182.917</v>
      </c>
      <c r="G21" s="4">
        <v>183</v>
      </c>
      <c r="H21" s="389">
        <v>9291.0451431916772</v>
      </c>
      <c r="I21" s="389">
        <v>16769.681453195375</v>
      </c>
      <c r="J21" s="389">
        <f>H21*((1-J$8-J$11)*H$7/(H$7-H$15)-H$15/(H$7-H$15))</f>
        <v>6081.9890987597901</v>
      </c>
      <c r="K21" s="389">
        <f>I21*((1-K$8-K$11)*I$7/(I$7-SUM(I$16:I$18))-SUM(I$16:I$18)/(I$7-SUM(I$16:I$18)))</f>
        <v>10918.479648018474</v>
      </c>
      <c r="L21" s="389"/>
      <c r="M21" s="389"/>
      <c r="N21" s="548">
        <f>J21+L21</f>
        <v>6081.9890987597901</v>
      </c>
      <c r="O21" s="548">
        <f t="shared" ref="O21:O61" si="9">K21+M21</f>
        <v>10918.479648018474</v>
      </c>
      <c r="P21" s="504">
        <f>N21+O21</f>
        <v>17000.468746778264</v>
      </c>
      <c r="Q21" s="9"/>
      <c r="R21" s="9"/>
      <c r="S21" s="421">
        <v>6003.4695390177276</v>
      </c>
      <c r="T21" s="444">
        <v>10173.665855373632</v>
      </c>
      <c r="U21" s="542">
        <v>16177.13539439136</v>
      </c>
      <c r="V21" s="544"/>
      <c r="W21" s="582">
        <f t="shared" si="2"/>
        <v>78.519559742062484</v>
      </c>
      <c r="X21" s="582">
        <f t="shared" si="3"/>
        <v>744.81379264484167</v>
      </c>
      <c r="Y21" s="582">
        <f t="shared" si="4"/>
        <v>823.33335238690415</v>
      </c>
      <c r="Z21" s="581"/>
      <c r="AA21" s="587">
        <v>5706</v>
      </c>
      <c r="AB21" s="587">
        <v>10664.190210872302</v>
      </c>
      <c r="AC21" s="542">
        <f t="shared" si="0"/>
        <v>16370.190210872302</v>
      </c>
      <c r="AD21" s="544"/>
      <c r="AE21" s="582">
        <f t="shared" si="5"/>
        <v>375.98909875979007</v>
      </c>
      <c r="AF21" s="582">
        <f t="shared" si="6"/>
        <v>254.28943714617162</v>
      </c>
      <c r="AG21" s="582">
        <f t="shared" si="7"/>
        <v>630.27853590596169</v>
      </c>
      <c r="AH21" s="581"/>
    </row>
    <row r="22" spans="2:43" x14ac:dyDescent="0.25">
      <c r="B22" s="37" t="s">
        <v>0</v>
      </c>
      <c r="C22" s="16">
        <v>3112</v>
      </c>
      <c r="D22" s="4">
        <v>8451.3682799999988</v>
      </c>
      <c r="E22" s="4">
        <v>14</v>
      </c>
      <c r="F22" s="4">
        <v>68.349999999999994</v>
      </c>
      <c r="G22" s="4">
        <v>15</v>
      </c>
      <c r="H22" s="389">
        <v>13453.148973907266</v>
      </c>
      <c r="I22" s="389">
        <v>13687.309591519846</v>
      </c>
      <c r="J22" s="389">
        <f t="shared" ref="J22:J61" si="10">H22*((1-J$8-J$11)*H$7/(H$7-H$15)-H$15/(H$7-H$15))</f>
        <v>8806.5340488904167</v>
      </c>
      <c r="K22" s="389">
        <f t="shared" ref="K22:K61" si="11">I22*((1-K$8-K$11)*I$7/(I$7-SUM(I$16:I$18))-SUM(I$16:I$18)/(I$7-SUM(I$16:I$18)))</f>
        <v>8911.5951086036639</v>
      </c>
      <c r="L22" s="389"/>
      <c r="M22" s="389"/>
      <c r="N22" s="548">
        <f t="shared" ref="N22:N61" si="12">J22+L22</f>
        <v>8806.5340488904167</v>
      </c>
      <c r="O22" s="548">
        <f t="shared" si="9"/>
        <v>8911.5951086036639</v>
      </c>
      <c r="P22" s="504">
        <f t="shared" ref="P22:P61" si="13">N22+O22</f>
        <v>17718.129157494081</v>
      </c>
      <c r="Q22" s="9"/>
      <c r="R22" s="9"/>
      <c r="S22" s="421">
        <v>9914.9219608681342</v>
      </c>
      <c r="T22" s="444">
        <v>7696.0499747860422</v>
      </c>
      <c r="U22" s="542">
        <v>17610.971935654175</v>
      </c>
      <c r="V22" s="544"/>
      <c r="W22" s="582">
        <f t="shared" si="2"/>
        <v>-1108.3879119777175</v>
      </c>
      <c r="X22" s="582">
        <f t="shared" si="3"/>
        <v>1215.5451338176217</v>
      </c>
      <c r="Y22" s="582">
        <f t="shared" si="4"/>
        <v>107.15722183990511</v>
      </c>
      <c r="Z22" s="581"/>
      <c r="AA22" s="587">
        <v>8933</v>
      </c>
      <c r="AB22" s="587">
        <v>6168.1750632637913</v>
      </c>
      <c r="AC22" s="542">
        <f t="shared" si="0"/>
        <v>15101.175063263792</v>
      </c>
      <c r="AD22" s="544"/>
      <c r="AE22" s="582">
        <f t="shared" si="5"/>
        <v>-126.46595110958333</v>
      </c>
      <c r="AF22" s="582">
        <f t="shared" si="6"/>
        <v>2743.4200453398726</v>
      </c>
      <c r="AG22" s="582">
        <f t="shared" si="7"/>
        <v>2616.9540942302883</v>
      </c>
      <c r="AH22" s="581"/>
    </row>
    <row r="23" spans="2:43" ht="15.75" thickBot="1" x14ac:dyDescent="0.3">
      <c r="B23" s="18" t="s">
        <v>79</v>
      </c>
      <c r="C23" s="19">
        <v>3113</v>
      </c>
      <c r="D23" s="4">
        <v>7636.2781999999997</v>
      </c>
      <c r="E23" s="4">
        <v>50</v>
      </c>
      <c r="F23" s="4">
        <v>0.46100000000000002</v>
      </c>
      <c r="G23" s="611">
        <v>140</v>
      </c>
      <c r="H23" s="612">
        <v>19422.662674497671</v>
      </c>
      <c r="I23" s="612">
        <v>26734.661326915539</v>
      </c>
      <c r="J23" s="612">
        <f t="shared" si="10"/>
        <v>12714.223301535247</v>
      </c>
      <c r="K23" s="612">
        <f t="shared" si="11"/>
        <v>17406.523577045853</v>
      </c>
      <c r="L23" s="612"/>
      <c r="M23" s="612"/>
      <c r="N23" s="613">
        <f t="shared" si="12"/>
        <v>12714.223301535247</v>
      </c>
      <c r="O23" s="613">
        <f t="shared" si="9"/>
        <v>17406.523577045853</v>
      </c>
      <c r="P23" s="503">
        <f t="shared" si="13"/>
        <v>30120.7468785811</v>
      </c>
      <c r="Q23" s="9"/>
      <c r="R23" s="9"/>
      <c r="S23" s="422">
        <v>11398.203481195644</v>
      </c>
      <c r="T23" s="445">
        <v>15991.17647593632</v>
      </c>
      <c r="U23" s="542">
        <v>27389.379957131961</v>
      </c>
      <c r="V23" s="544"/>
      <c r="W23" s="582">
        <f t="shared" si="2"/>
        <v>1316.019820339603</v>
      </c>
      <c r="X23" s="582">
        <f t="shared" si="3"/>
        <v>1415.3471011095335</v>
      </c>
      <c r="Y23" s="582">
        <f t="shared" si="4"/>
        <v>2731.3669214491383</v>
      </c>
      <c r="Z23" s="581"/>
      <c r="AA23" s="587">
        <v>10341</v>
      </c>
      <c r="AB23" s="587">
        <v>12394.563497516237</v>
      </c>
      <c r="AC23" s="542">
        <f t="shared" si="0"/>
        <v>22735.563497516239</v>
      </c>
      <c r="AD23" s="544"/>
      <c r="AE23" s="582">
        <f t="shared" si="5"/>
        <v>2373.2233015352467</v>
      </c>
      <c r="AF23" s="582">
        <f t="shared" si="6"/>
        <v>5011.9600795296155</v>
      </c>
      <c r="AG23" s="582">
        <f t="shared" si="7"/>
        <v>7385.1833810648604</v>
      </c>
      <c r="AH23" s="581"/>
    </row>
    <row r="24" spans="2:43" x14ac:dyDescent="0.25">
      <c r="B24" s="20" t="s">
        <v>2</v>
      </c>
      <c r="C24" s="21">
        <v>3120</v>
      </c>
      <c r="D24" s="24">
        <v>1554.624</v>
      </c>
      <c r="E24" s="551">
        <v>18</v>
      </c>
      <c r="F24" s="551">
        <v>0</v>
      </c>
      <c r="G24" s="24"/>
      <c r="H24" s="426"/>
      <c r="I24" s="426" t="s">
        <v>173</v>
      </c>
      <c r="J24" s="426">
        <f t="shared" si="10"/>
        <v>0</v>
      </c>
      <c r="K24" s="426"/>
      <c r="L24" s="426"/>
      <c r="M24" s="426"/>
      <c r="N24" s="426">
        <f t="shared" si="12"/>
        <v>0</v>
      </c>
      <c r="O24" s="426">
        <f t="shared" si="9"/>
        <v>0</v>
      </c>
      <c r="P24" s="505">
        <f t="shared" si="13"/>
        <v>0</v>
      </c>
      <c r="Q24" s="591">
        <f>SUM(P25:P28)</f>
        <v>57417.731796310996</v>
      </c>
      <c r="R24" s="398"/>
      <c r="S24" s="420">
        <v>0</v>
      </c>
      <c r="T24" s="446">
        <v>0</v>
      </c>
      <c r="U24" s="590">
        <v>0</v>
      </c>
      <c r="V24" s="591">
        <f>SUM(U25:U28)</f>
        <v>51279.295380604693</v>
      </c>
      <c r="W24" s="582">
        <f t="shared" si="2"/>
        <v>0</v>
      </c>
      <c r="X24" s="582">
        <f t="shared" si="3"/>
        <v>0</v>
      </c>
      <c r="Y24" s="582">
        <f t="shared" si="4"/>
        <v>0</v>
      </c>
      <c r="Z24" s="581"/>
      <c r="AA24" s="592">
        <v>0</v>
      </c>
      <c r="AB24" s="592">
        <v>0</v>
      </c>
      <c r="AC24" s="590">
        <f t="shared" si="0"/>
        <v>0</v>
      </c>
      <c r="AD24" s="591">
        <f>SUM(AC25:AC28)</f>
        <v>43468.829383849996</v>
      </c>
      <c r="AE24" s="593">
        <f t="shared" si="5"/>
        <v>0</v>
      </c>
      <c r="AF24" s="593">
        <f t="shared" si="6"/>
        <v>0</v>
      </c>
      <c r="AG24" s="593">
        <f t="shared" si="7"/>
        <v>0</v>
      </c>
      <c r="AH24" s="581"/>
    </row>
    <row r="25" spans="2:43" x14ac:dyDescent="0.25">
      <c r="B25" s="2" t="s">
        <v>3</v>
      </c>
      <c r="C25" s="15">
        <v>3122</v>
      </c>
      <c r="D25" s="4">
        <v>3197.4607900000005</v>
      </c>
      <c r="E25" s="4">
        <v>44</v>
      </c>
      <c r="F25" s="4">
        <v>97.860229999999987</v>
      </c>
      <c r="G25" s="4">
        <v>248</v>
      </c>
      <c r="H25" s="389">
        <v>5337.5211619840356</v>
      </c>
      <c r="I25" s="389">
        <v>21531.93677648923</v>
      </c>
      <c r="J25" s="389">
        <f t="shared" si="10"/>
        <v>3493.9821108688457</v>
      </c>
      <c r="K25" s="389">
        <f t="shared" si="11"/>
        <v>14019.110269487073</v>
      </c>
      <c r="L25" s="389">
        <f>-1957.226-52.268</f>
        <v>-2009.4940000000001</v>
      </c>
      <c r="M25" s="389">
        <f>-1965-330</f>
        <v>-2295</v>
      </c>
      <c r="N25" s="548">
        <f t="shared" si="12"/>
        <v>1484.4881108688455</v>
      </c>
      <c r="O25" s="548">
        <f t="shared" si="9"/>
        <v>11724.110269487073</v>
      </c>
      <c r="P25" s="504">
        <f t="shared" si="13"/>
        <v>13208.598380355919</v>
      </c>
      <c r="Q25" s="9"/>
      <c r="R25" s="9"/>
      <c r="S25" s="421">
        <v>1135.5104683406632</v>
      </c>
      <c r="T25" s="444">
        <v>10046.686993735522</v>
      </c>
      <c r="U25" s="542">
        <v>11182.197462076185</v>
      </c>
      <c r="V25" s="544"/>
      <c r="W25" s="582">
        <f t="shared" si="2"/>
        <v>348.97764252818229</v>
      </c>
      <c r="X25" s="582">
        <f t="shared" si="3"/>
        <v>1677.423275751551</v>
      </c>
      <c r="Y25" s="582">
        <f t="shared" si="4"/>
        <v>2026.4009182797345</v>
      </c>
      <c r="Z25" s="581"/>
      <c r="AA25" s="587">
        <v>1166</v>
      </c>
      <c r="AB25" s="587">
        <v>7438.3458334132602</v>
      </c>
      <c r="AC25" s="542">
        <f t="shared" si="0"/>
        <v>8604.3458334132592</v>
      </c>
      <c r="AD25" s="544"/>
      <c r="AE25" s="582">
        <f t="shared" si="5"/>
        <v>318.48811086884552</v>
      </c>
      <c r="AF25" s="582">
        <f t="shared" si="6"/>
        <v>4285.7644360738132</v>
      </c>
      <c r="AG25" s="582">
        <f t="shared" si="7"/>
        <v>4604.25254694266</v>
      </c>
      <c r="AH25" s="581"/>
    </row>
    <row r="26" spans="2:43" x14ac:dyDescent="0.25">
      <c r="B26" s="2" t="s">
        <v>30</v>
      </c>
      <c r="C26" s="15">
        <v>3123</v>
      </c>
      <c r="D26" s="4">
        <v>9959.776020000003</v>
      </c>
      <c r="E26" s="4">
        <v>193</v>
      </c>
      <c r="F26" s="4">
        <v>670.15428999999983</v>
      </c>
      <c r="G26" s="4">
        <v>1064</v>
      </c>
      <c r="H26" s="389">
        <v>28609.203313635586</v>
      </c>
      <c r="I26" s="389">
        <v>19281.890734704473</v>
      </c>
      <c r="J26" s="389">
        <f t="shared" si="10"/>
        <v>18727.802953926988</v>
      </c>
      <c r="K26" s="389">
        <f t="shared" si="11"/>
        <v>12554.140169554121</v>
      </c>
      <c r="L26" s="389"/>
      <c r="M26" s="389"/>
      <c r="N26" s="548">
        <f t="shared" si="12"/>
        <v>18727.802953926988</v>
      </c>
      <c r="O26" s="548">
        <f t="shared" si="9"/>
        <v>12554.140169554121</v>
      </c>
      <c r="P26" s="504">
        <f t="shared" si="13"/>
        <v>31281.943123481109</v>
      </c>
      <c r="Q26" s="9"/>
      <c r="R26" s="9"/>
      <c r="S26" s="421">
        <v>21145.040845803946</v>
      </c>
      <c r="T26" s="444">
        <v>11694.929154616293</v>
      </c>
      <c r="U26" s="542">
        <v>32839.970000420239</v>
      </c>
      <c r="V26" s="544"/>
      <c r="W26" s="582">
        <f t="shared" si="2"/>
        <v>-2417.2378918769573</v>
      </c>
      <c r="X26" s="582">
        <f t="shared" si="3"/>
        <v>859.21101493782771</v>
      </c>
      <c r="Y26" s="582">
        <f t="shared" si="4"/>
        <v>-1558.0268769391296</v>
      </c>
      <c r="Z26" s="581"/>
      <c r="AA26" s="587">
        <v>21024</v>
      </c>
      <c r="AB26" s="587">
        <v>8380.1829728872508</v>
      </c>
      <c r="AC26" s="542">
        <f t="shared" si="0"/>
        <v>29404.182972887251</v>
      </c>
      <c r="AD26" s="544"/>
      <c r="AE26" s="582">
        <f t="shared" si="5"/>
        <v>-2296.1970460730117</v>
      </c>
      <c r="AF26" s="582">
        <f t="shared" si="6"/>
        <v>4173.95719666687</v>
      </c>
      <c r="AG26" s="582">
        <f t="shared" si="7"/>
        <v>1877.7601505938583</v>
      </c>
      <c r="AH26" s="581"/>
    </row>
    <row r="27" spans="2:43" x14ac:dyDescent="0.25">
      <c r="B27" s="2" t="s">
        <v>4</v>
      </c>
      <c r="C27" s="15">
        <v>3125</v>
      </c>
      <c r="D27" s="4">
        <v>4624.9337100000012</v>
      </c>
      <c r="E27" s="4">
        <v>1052</v>
      </c>
      <c r="F27" s="4">
        <v>185.31616</v>
      </c>
      <c r="G27" s="4">
        <v>112</v>
      </c>
      <c r="H27" s="389">
        <v>6526.9551944253235</v>
      </c>
      <c r="I27" s="389">
        <v>3001.9514516853578</v>
      </c>
      <c r="J27" s="389">
        <f t="shared" si="10"/>
        <v>4272.5947112287586</v>
      </c>
      <c r="K27" s="389">
        <f t="shared" si="11"/>
        <v>1954.5240570637468</v>
      </c>
      <c r="L27" s="389"/>
      <c r="M27" s="389">
        <f>1965-637</f>
        <v>1328</v>
      </c>
      <c r="N27" s="548">
        <f t="shared" si="12"/>
        <v>4272.5947112287586</v>
      </c>
      <c r="O27" s="548">
        <f t="shared" si="9"/>
        <v>3282.524057063747</v>
      </c>
      <c r="P27" s="504">
        <f t="shared" si="13"/>
        <v>7555.1187682925056</v>
      </c>
      <c r="Q27" s="9"/>
      <c r="R27" s="9"/>
      <c r="S27" s="421">
        <v>1072.640439077152</v>
      </c>
      <c r="T27" s="444">
        <v>2322.0136596686434</v>
      </c>
      <c r="U27" s="542">
        <v>3394.6540987457956</v>
      </c>
      <c r="V27" s="544"/>
      <c r="W27" s="582">
        <f t="shared" si="2"/>
        <v>3199.9542721516063</v>
      </c>
      <c r="X27" s="582">
        <f t="shared" si="3"/>
        <v>960.51039739510361</v>
      </c>
      <c r="Y27" s="582">
        <f t="shared" si="4"/>
        <v>4160.46466954671</v>
      </c>
      <c r="Z27" s="581"/>
      <c r="AA27" s="587">
        <v>837</v>
      </c>
      <c r="AB27" s="587">
        <v>1511.1658018557009</v>
      </c>
      <c r="AC27" s="542">
        <f t="shared" si="0"/>
        <v>2348.1658018557009</v>
      </c>
      <c r="AD27" s="544"/>
      <c r="AE27" s="582">
        <f t="shared" si="5"/>
        <v>3435.5947112287586</v>
      </c>
      <c r="AF27" s="582">
        <f t="shared" si="6"/>
        <v>1771.3582552080461</v>
      </c>
      <c r="AG27" s="582">
        <f t="shared" si="7"/>
        <v>5206.9529664368047</v>
      </c>
      <c r="AH27" s="581"/>
    </row>
    <row r="28" spans="2:43" ht="15.75" thickBot="1" x14ac:dyDescent="0.3">
      <c r="B28" s="18" t="s">
        <v>5</v>
      </c>
      <c r="C28" s="19">
        <v>3127</v>
      </c>
      <c r="D28" s="4">
        <v>624.36531000000093</v>
      </c>
      <c r="E28" s="4">
        <v>73</v>
      </c>
      <c r="F28" s="4">
        <v>121.58513000000001</v>
      </c>
      <c r="G28" s="611">
        <v>63</v>
      </c>
      <c r="H28" s="612">
        <v>3652.7347950668577</v>
      </c>
      <c r="I28" s="612">
        <v>6114.3575684641037</v>
      </c>
      <c r="J28" s="612">
        <f t="shared" si="10"/>
        <v>2391.1080897649754</v>
      </c>
      <c r="K28" s="612">
        <f t="shared" si="11"/>
        <v>3980.963434416482</v>
      </c>
      <c r="L28" s="612"/>
      <c r="M28" s="612">
        <v>-1000</v>
      </c>
      <c r="N28" s="613">
        <f t="shared" si="12"/>
        <v>2391.1080897649754</v>
      </c>
      <c r="O28" s="613">
        <f t="shared" si="9"/>
        <v>2980.963434416482</v>
      </c>
      <c r="P28" s="503">
        <f t="shared" si="13"/>
        <v>5372.0715241814578</v>
      </c>
      <c r="Q28" s="9"/>
      <c r="R28" s="9"/>
      <c r="S28" s="422">
        <v>3000.8710649855216</v>
      </c>
      <c r="T28" s="445">
        <v>861.602754376951</v>
      </c>
      <c r="U28" s="542">
        <v>3862.4738193624726</v>
      </c>
      <c r="V28" s="544"/>
      <c r="W28" s="582">
        <f t="shared" si="2"/>
        <v>-609.7629752205462</v>
      </c>
      <c r="X28" s="582">
        <f t="shared" si="3"/>
        <v>2119.360680039531</v>
      </c>
      <c r="Y28" s="582">
        <f t="shared" si="4"/>
        <v>1509.5977048189852</v>
      </c>
      <c r="Z28" s="581"/>
      <c r="AA28" s="587">
        <v>2786</v>
      </c>
      <c r="AB28" s="587">
        <v>326.13477569378574</v>
      </c>
      <c r="AC28" s="542">
        <f t="shared" si="0"/>
        <v>3112.1347756937857</v>
      </c>
      <c r="AD28" s="544"/>
      <c r="AE28" s="582">
        <f t="shared" si="5"/>
        <v>-394.89191023502462</v>
      </c>
      <c r="AF28" s="582">
        <f t="shared" si="6"/>
        <v>2654.8286587226962</v>
      </c>
      <c r="AG28" s="582">
        <f t="shared" si="7"/>
        <v>2259.936748487672</v>
      </c>
      <c r="AH28" s="581"/>
      <c r="AQ28" s="415"/>
    </row>
    <row r="29" spans="2:43" x14ac:dyDescent="0.25">
      <c r="B29" s="20" t="s">
        <v>54</v>
      </c>
      <c r="C29" s="21">
        <v>3130</v>
      </c>
      <c r="D29" s="24">
        <v>636.39754999999991</v>
      </c>
      <c r="E29" s="551">
        <v>544</v>
      </c>
      <c r="F29" s="551">
        <v>0</v>
      </c>
      <c r="G29" s="24"/>
      <c r="H29" s="426"/>
      <c r="I29" s="426" t="s">
        <v>173</v>
      </c>
      <c r="J29" s="426">
        <f t="shared" si="10"/>
        <v>0</v>
      </c>
      <c r="K29" s="426"/>
      <c r="L29" s="426"/>
      <c r="M29" s="426"/>
      <c r="N29" s="426">
        <f t="shared" si="12"/>
        <v>0</v>
      </c>
      <c r="O29" s="426">
        <f t="shared" si="9"/>
        <v>0</v>
      </c>
      <c r="P29" s="505">
        <f t="shared" si="13"/>
        <v>0</v>
      </c>
      <c r="Q29" s="591">
        <f>SUM(P30:P34)</f>
        <v>50685.322216740722</v>
      </c>
      <c r="R29" s="398"/>
      <c r="S29" s="420">
        <v>0</v>
      </c>
      <c r="T29" s="446">
        <v>0</v>
      </c>
      <c r="U29" s="590">
        <v>0</v>
      </c>
      <c r="V29" s="591">
        <f>SUM(U30:U34)</f>
        <v>47036.841991706999</v>
      </c>
      <c r="W29" s="582">
        <f t="shared" si="2"/>
        <v>0</v>
      </c>
      <c r="X29" s="582">
        <f t="shared" si="3"/>
        <v>0</v>
      </c>
      <c r="Y29" s="582">
        <f t="shared" si="4"/>
        <v>0</v>
      </c>
      <c r="Z29" s="581"/>
      <c r="AA29" s="592">
        <v>0</v>
      </c>
      <c r="AB29" s="592">
        <v>0</v>
      </c>
      <c r="AC29" s="590">
        <f t="shared" si="0"/>
        <v>0</v>
      </c>
      <c r="AD29" s="591">
        <f>SUM(AC30:AC34)</f>
        <v>38749.686114739023</v>
      </c>
      <c r="AE29" s="593">
        <f t="shared" si="5"/>
        <v>0</v>
      </c>
      <c r="AF29" s="593">
        <f t="shared" si="6"/>
        <v>0</v>
      </c>
      <c r="AG29" s="593">
        <f t="shared" si="7"/>
        <v>0</v>
      </c>
      <c r="AH29" s="581"/>
    </row>
    <row r="30" spans="2:43" x14ac:dyDescent="0.25">
      <c r="B30" s="2" t="s">
        <v>31</v>
      </c>
      <c r="C30" s="15">
        <v>3131</v>
      </c>
      <c r="D30" s="4">
        <v>3243.79144</v>
      </c>
      <c r="E30" s="4">
        <v>50</v>
      </c>
      <c r="F30" s="4">
        <v>1283.5952</v>
      </c>
      <c r="G30" s="4">
        <v>757</v>
      </c>
      <c r="H30" s="389">
        <v>7571.9894654533546</v>
      </c>
      <c r="I30" s="389">
        <v>10304.136491145207</v>
      </c>
      <c r="J30" s="389">
        <f t="shared" si="10"/>
        <v>4956.6821251060182</v>
      </c>
      <c r="K30" s="389">
        <f t="shared" si="11"/>
        <v>6708.8635453797551</v>
      </c>
      <c r="L30" s="389">
        <v>-1205.489</v>
      </c>
      <c r="M30" s="389">
        <v>-440.81599999999997</v>
      </c>
      <c r="N30" s="548">
        <f t="shared" si="12"/>
        <v>3751.1931251060182</v>
      </c>
      <c r="O30" s="548">
        <f t="shared" si="9"/>
        <v>6268.0475453797553</v>
      </c>
      <c r="P30" s="504">
        <f t="shared" si="13"/>
        <v>10019.240670485773</v>
      </c>
      <c r="Q30" s="9"/>
      <c r="R30" s="9"/>
      <c r="S30" s="421">
        <v>1883.2585501058559</v>
      </c>
      <c r="T30" s="444">
        <v>6115.8821985695404</v>
      </c>
      <c r="U30" s="542">
        <v>7999.140748675396</v>
      </c>
      <c r="V30" s="544"/>
      <c r="W30" s="582">
        <f t="shared" si="2"/>
        <v>1867.9345750001623</v>
      </c>
      <c r="X30" s="582">
        <f t="shared" si="3"/>
        <v>152.16534681021494</v>
      </c>
      <c r="Y30" s="582">
        <f t="shared" si="4"/>
        <v>2020.0999218103771</v>
      </c>
      <c r="Z30" s="581"/>
      <c r="AA30" s="587">
        <v>1037</v>
      </c>
      <c r="AB30" s="587">
        <v>5267.9315773115741</v>
      </c>
      <c r="AC30" s="542">
        <f t="shared" si="0"/>
        <v>6304.9315773115741</v>
      </c>
      <c r="AD30" s="544"/>
      <c r="AE30" s="582">
        <f t="shared" si="5"/>
        <v>2714.1931251060182</v>
      </c>
      <c r="AF30" s="582">
        <f t="shared" si="6"/>
        <v>1000.1159680681812</v>
      </c>
      <c r="AG30" s="582">
        <f t="shared" si="7"/>
        <v>3714.309093174199</v>
      </c>
      <c r="AH30" s="581"/>
    </row>
    <row r="31" spans="2:43" x14ac:dyDescent="0.25">
      <c r="B31" s="2" t="s">
        <v>32</v>
      </c>
      <c r="C31" s="16">
        <v>3132</v>
      </c>
      <c r="D31" s="4">
        <v>2668.66914</v>
      </c>
      <c r="E31" s="4">
        <v>437</v>
      </c>
      <c r="F31" s="4">
        <v>2745.6102299999998</v>
      </c>
      <c r="G31" s="4">
        <v>1488</v>
      </c>
      <c r="H31" s="389">
        <v>33858.519708183245</v>
      </c>
      <c r="I31" s="389">
        <v>17064.75468134684</v>
      </c>
      <c r="J31" s="389">
        <f t="shared" si="10"/>
        <v>22164.045550485134</v>
      </c>
      <c r="K31" s="389">
        <f t="shared" si="11"/>
        <v>11110.597252949663</v>
      </c>
      <c r="L31" s="389">
        <f>-1222.632-10343.784-21.915-8523.998-563.119+397.746+93.587+23.397+23.397</f>
        <v>-20137.320999999996</v>
      </c>
      <c r="M31" s="389">
        <f>-211-1372-211-106-106</f>
        <v>-2006</v>
      </c>
      <c r="N31" s="548">
        <f t="shared" si="12"/>
        <v>2026.724550485138</v>
      </c>
      <c r="O31" s="548">
        <f t="shared" si="9"/>
        <v>9104.597252949663</v>
      </c>
      <c r="P31" s="504">
        <f t="shared" si="13"/>
        <v>11131.321803434801</v>
      </c>
      <c r="Q31" s="9"/>
      <c r="R31" s="9"/>
      <c r="S31" s="421">
        <v>1168.8490012342886</v>
      </c>
      <c r="T31" s="444">
        <v>9966.424757029421</v>
      </c>
      <c r="U31" s="542">
        <v>11135.273758263709</v>
      </c>
      <c r="V31" s="544"/>
      <c r="W31" s="582">
        <f t="shared" si="2"/>
        <v>857.87554925084942</v>
      </c>
      <c r="X31" s="582">
        <f t="shared" si="3"/>
        <v>-861.827504079758</v>
      </c>
      <c r="Y31" s="582">
        <f t="shared" si="4"/>
        <v>-3.9519548289081285</v>
      </c>
      <c r="Z31" s="581"/>
      <c r="AA31" s="587">
        <v>918</v>
      </c>
      <c r="AB31" s="587">
        <v>8175.5905443427419</v>
      </c>
      <c r="AC31" s="542">
        <f t="shared" si="0"/>
        <v>9093.5905443427419</v>
      </c>
      <c r="AD31" s="544"/>
      <c r="AE31" s="582">
        <f t="shared" si="5"/>
        <v>1108.724550485138</v>
      </c>
      <c r="AF31" s="582">
        <f t="shared" si="6"/>
        <v>929.00670860692117</v>
      </c>
      <c r="AG31" s="582">
        <f t="shared" si="7"/>
        <v>2037.7312590920592</v>
      </c>
      <c r="AH31" s="581"/>
    </row>
    <row r="32" spans="2:43" x14ac:dyDescent="0.25">
      <c r="B32" s="2" t="s">
        <v>33</v>
      </c>
      <c r="C32" s="15">
        <v>3133</v>
      </c>
      <c r="D32" s="4">
        <v>7037.9352199999994</v>
      </c>
      <c r="E32" s="4">
        <v>164</v>
      </c>
      <c r="F32" s="4">
        <v>513.48819000000003</v>
      </c>
      <c r="G32" s="4">
        <v>207</v>
      </c>
      <c r="H32" s="389">
        <v>7307.4871492876491</v>
      </c>
      <c r="I32" s="389">
        <v>11656.114191547058</v>
      </c>
      <c r="J32" s="389">
        <f t="shared" si="10"/>
        <v>4783.5368891585458</v>
      </c>
      <c r="K32" s="389">
        <f t="shared" si="11"/>
        <v>7589.115269159498</v>
      </c>
      <c r="L32" s="389"/>
      <c r="M32" s="389">
        <v>-654</v>
      </c>
      <c r="N32" s="548">
        <f t="shared" si="12"/>
        <v>4783.5368891585458</v>
      </c>
      <c r="O32" s="548">
        <f t="shared" si="9"/>
        <v>6935.115269159498</v>
      </c>
      <c r="P32" s="504">
        <f t="shared" si="13"/>
        <v>11718.652158318044</v>
      </c>
      <c r="Q32" s="9"/>
      <c r="R32" s="9"/>
      <c r="S32" s="421">
        <v>2239.4717526723171</v>
      </c>
      <c r="T32" s="444">
        <v>5914.027580011385</v>
      </c>
      <c r="U32" s="542">
        <v>8153.4993326837021</v>
      </c>
      <c r="V32" s="544"/>
      <c r="W32" s="582">
        <f t="shared" si="2"/>
        <v>2544.0651364862288</v>
      </c>
      <c r="X32" s="582">
        <f t="shared" si="3"/>
        <v>1021.087689148113</v>
      </c>
      <c r="Y32" s="582">
        <f t="shared" si="4"/>
        <v>3565.1528256343418</v>
      </c>
      <c r="Z32" s="581"/>
      <c r="AA32" s="587">
        <v>2543</v>
      </c>
      <c r="AB32" s="587">
        <v>5068.8364564067006</v>
      </c>
      <c r="AC32" s="542">
        <f t="shared" si="0"/>
        <v>7611.8364564067006</v>
      </c>
      <c r="AD32" s="544"/>
      <c r="AE32" s="582">
        <f t="shared" si="5"/>
        <v>2240.5368891585458</v>
      </c>
      <c r="AF32" s="582">
        <f t="shared" si="6"/>
        <v>1866.2788127527974</v>
      </c>
      <c r="AG32" s="582">
        <f t="shared" si="7"/>
        <v>4106.8157019113432</v>
      </c>
      <c r="AH32" s="581"/>
    </row>
    <row r="33" spans="2:34" x14ac:dyDescent="0.25">
      <c r="B33" s="2" t="s">
        <v>34</v>
      </c>
      <c r="C33" s="15">
        <v>3134</v>
      </c>
      <c r="D33" s="4">
        <v>290.57728000000026</v>
      </c>
      <c r="E33" s="4">
        <v>143</v>
      </c>
      <c r="F33" s="4">
        <v>-1355.9995899999997</v>
      </c>
      <c r="G33" s="4">
        <v>916</v>
      </c>
      <c r="H33" s="389">
        <v>8115.0887458479428</v>
      </c>
      <c r="I33" s="389">
        <v>10584.719389758982</v>
      </c>
      <c r="J33" s="389">
        <f t="shared" si="10"/>
        <v>5312.1990612522868</v>
      </c>
      <c r="K33" s="389">
        <f t="shared" si="11"/>
        <v>6891.546721362969</v>
      </c>
      <c r="L33" s="389">
        <v>-3000</v>
      </c>
      <c r="M33" s="389"/>
      <c r="N33" s="548">
        <f t="shared" si="12"/>
        <v>2312.1990612522868</v>
      </c>
      <c r="O33" s="548">
        <f t="shared" si="9"/>
        <v>6891.546721362969</v>
      </c>
      <c r="P33" s="504">
        <f t="shared" si="13"/>
        <v>9203.7457826152568</v>
      </c>
      <c r="Q33" s="9"/>
      <c r="R33" s="9"/>
      <c r="S33" s="421">
        <v>5761.2801779194588</v>
      </c>
      <c r="T33" s="444">
        <v>6771.0400718788496</v>
      </c>
      <c r="U33" s="542">
        <v>12532.320249798307</v>
      </c>
      <c r="V33" s="544"/>
      <c r="W33" s="582">
        <f t="shared" si="2"/>
        <v>-3449.081116667172</v>
      </c>
      <c r="X33" s="582">
        <f t="shared" si="3"/>
        <v>120.50664948411941</v>
      </c>
      <c r="Y33" s="582">
        <f t="shared" si="4"/>
        <v>-3328.5744671830507</v>
      </c>
      <c r="Z33" s="581"/>
      <c r="AA33" s="587">
        <v>5447</v>
      </c>
      <c r="AB33" s="587">
        <v>4459.3887258046598</v>
      </c>
      <c r="AC33" s="542">
        <f t="shared" si="0"/>
        <v>9906.3887258046598</v>
      </c>
      <c r="AD33" s="544"/>
      <c r="AE33" s="582">
        <f t="shared" si="5"/>
        <v>-3134.8009387477132</v>
      </c>
      <c r="AF33" s="582">
        <f t="shared" si="6"/>
        <v>2432.1579955583093</v>
      </c>
      <c r="AG33" s="582">
        <f t="shared" si="7"/>
        <v>-702.64294318940301</v>
      </c>
      <c r="AH33" s="581"/>
    </row>
    <row r="34" spans="2:34" ht="15.75" thickBot="1" x14ac:dyDescent="0.3">
      <c r="B34" s="18" t="s">
        <v>35</v>
      </c>
      <c r="C34" s="19">
        <v>3135</v>
      </c>
      <c r="D34" s="4">
        <v>1553.6766</v>
      </c>
      <c r="E34" s="4">
        <v>38</v>
      </c>
      <c r="F34" s="4">
        <v>515.67974000000004</v>
      </c>
      <c r="G34" s="611">
        <v>462</v>
      </c>
      <c r="H34" s="612">
        <v>1511.6650467687482</v>
      </c>
      <c r="I34" s="612">
        <v>19863.185712453491</v>
      </c>
      <c r="J34" s="612">
        <f t="shared" si="10"/>
        <v>989.54748295038621</v>
      </c>
      <c r="K34" s="612">
        <f t="shared" si="11"/>
        <v>12932.612318936459</v>
      </c>
      <c r="L34" s="612"/>
      <c r="M34" s="612">
        <f>-2052.753-1951.065-525.118-780.862</f>
        <v>-5309.7980000000007</v>
      </c>
      <c r="N34" s="613">
        <f t="shared" si="12"/>
        <v>989.54748295038621</v>
      </c>
      <c r="O34" s="613">
        <f t="shared" si="9"/>
        <v>7622.8143189364582</v>
      </c>
      <c r="P34" s="503">
        <f t="shared" si="13"/>
        <v>8612.3618018868438</v>
      </c>
      <c r="Q34" s="9"/>
      <c r="R34" s="9"/>
      <c r="S34" s="422">
        <v>1241.4751121727077</v>
      </c>
      <c r="T34" s="444">
        <v>5974.9327901131728</v>
      </c>
      <c r="U34" s="542">
        <v>7216.6079022858803</v>
      </c>
      <c r="V34" s="544"/>
      <c r="W34" s="582">
        <f t="shared" si="2"/>
        <v>-251.92762922232146</v>
      </c>
      <c r="X34" s="582">
        <f t="shared" si="3"/>
        <v>1647.8815288232854</v>
      </c>
      <c r="Y34" s="582">
        <f t="shared" si="4"/>
        <v>1395.7538996009635</v>
      </c>
      <c r="Z34" s="581"/>
      <c r="AA34" s="587">
        <v>1346</v>
      </c>
      <c r="AB34" s="587">
        <v>4486.9388108733474</v>
      </c>
      <c r="AC34" s="542">
        <f t="shared" si="0"/>
        <v>5832.9388108733474</v>
      </c>
      <c r="AD34" s="544"/>
      <c r="AE34" s="582">
        <f t="shared" si="5"/>
        <v>-356.45251704961379</v>
      </c>
      <c r="AF34" s="582">
        <f t="shared" si="6"/>
        <v>3135.8755080631108</v>
      </c>
      <c r="AG34" s="582">
        <f t="shared" si="7"/>
        <v>2779.4229910134964</v>
      </c>
      <c r="AH34" s="581"/>
    </row>
    <row r="35" spans="2:34" x14ac:dyDescent="0.25">
      <c r="B35" s="20" t="s">
        <v>6</v>
      </c>
      <c r="C35" s="21">
        <v>3140</v>
      </c>
      <c r="D35" s="24">
        <v>177</v>
      </c>
      <c r="E35" s="551">
        <v>0</v>
      </c>
      <c r="F35" s="551">
        <v>0</v>
      </c>
      <c r="G35" s="24"/>
      <c r="H35" s="426"/>
      <c r="I35" s="426" t="s">
        <v>173</v>
      </c>
      <c r="J35" s="426">
        <f t="shared" si="10"/>
        <v>0</v>
      </c>
      <c r="K35" s="426"/>
      <c r="L35" s="426"/>
      <c r="M35" s="426"/>
      <c r="N35" s="426">
        <f t="shared" si="12"/>
        <v>0</v>
      </c>
      <c r="O35" s="426">
        <f t="shared" si="9"/>
        <v>0</v>
      </c>
      <c r="P35" s="505">
        <f t="shared" si="13"/>
        <v>0</v>
      </c>
      <c r="Q35" s="591">
        <f>SUM(P36:P40)</f>
        <v>81826.948660956637</v>
      </c>
      <c r="R35" s="398"/>
      <c r="S35" s="420">
        <v>0</v>
      </c>
      <c r="T35" s="446">
        <v>0</v>
      </c>
      <c r="U35" s="590">
        <v>0</v>
      </c>
      <c r="V35" s="591">
        <f>SUM(U36:U40)</f>
        <v>85446.383220346077</v>
      </c>
      <c r="W35" s="582">
        <f t="shared" si="2"/>
        <v>0</v>
      </c>
      <c r="X35" s="582">
        <f t="shared" si="3"/>
        <v>0</v>
      </c>
      <c r="Y35" s="582">
        <f t="shared" si="4"/>
        <v>0</v>
      </c>
      <c r="Z35" s="581"/>
      <c r="AA35" s="592">
        <v>0</v>
      </c>
      <c r="AB35" s="592">
        <v>0</v>
      </c>
      <c r="AC35" s="590">
        <f t="shared" si="0"/>
        <v>0</v>
      </c>
      <c r="AD35" s="591">
        <f>SUM(AC36:AC40)</f>
        <v>71947.359571819135</v>
      </c>
      <c r="AE35" s="593">
        <f t="shared" si="5"/>
        <v>0</v>
      </c>
      <c r="AF35" s="593">
        <f t="shared" si="6"/>
        <v>0</v>
      </c>
      <c r="AG35" s="593">
        <f t="shared" si="7"/>
        <v>0</v>
      </c>
      <c r="AH35" s="581"/>
    </row>
    <row r="36" spans="2:34" x14ac:dyDescent="0.25">
      <c r="B36" s="2" t="s">
        <v>36</v>
      </c>
      <c r="C36" s="15">
        <v>3141</v>
      </c>
      <c r="D36" s="4">
        <v>-180.02045999999996</v>
      </c>
      <c r="E36" s="4">
        <v>942</v>
      </c>
      <c r="F36" s="4">
        <v>555.14400000000001</v>
      </c>
      <c r="G36" s="4">
        <v>285</v>
      </c>
      <c r="H36" s="389">
        <v>10547.009825572701</v>
      </c>
      <c r="I36" s="389">
        <v>13237.877284489576</v>
      </c>
      <c r="J36" s="389">
        <f t="shared" si="10"/>
        <v>6904.1531706097958</v>
      </c>
      <c r="K36" s="389">
        <f t="shared" si="11"/>
        <v>8618.9767001283526</v>
      </c>
      <c r="L36" s="389"/>
      <c r="M36" s="389"/>
      <c r="N36" s="548">
        <f t="shared" si="12"/>
        <v>6904.1531706097958</v>
      </c>
      <c r="O36" s="548">
        <f t="shared" si="9"/>
        <v>8618.9767001283526</v>
      </c>
      <c r="P36" s="504">
        <f t="shared" si="13"/>
        <v>15523.129870738148</v>
      </c>
      <c r="Q36" s="9"/>
      <c r="R36" s="9"/>
      <c r="S36" s="421">
        <v>7074.7592217258098</v>
      </c>
      <c r="T36" s="444">
        <v>8132.9998427826622</v>
      </c>
      <c r="U36" s="542">
        <v>15207.759064508471</v>
      </c>
      <c r="V36" s="544"/>
      <c r="W36" s="582">
        <f t="shared" si="2"/>
        <v>-170.60605111601399</v>
      </c>
      <c r="X36" s="582">
        <f t="shared" si="3"/>
        <v>485.97685734569041</v>
      </c>
      <c r="Y36" s="582">
        <f t="shared" si="4"/>
        <v>315.37080622967733</v>
      </c>
      <c r="Z36" s="581"/>
      <c r="AA36" s="587">
        <v>6270</v>
      </c>
      <c r="AB36" s="587">
        <v>6740.6716550507599</v>
      </c>
      <c r="AC36" s="542">
        <f t="shared" si="0"/>
        <v>13010.671655050759</v>
      </c>
      <c r="AD36" s="544"/>
      <c r="AE36" s="582">
        <f t="shared" si="5"/>
        <v>634.15317060979578</v>
      </c>
      <c r="AF36" s="582">
        <f t="shared" si="6"/>
        <v>1878.3050450775927</v>
      </c>
      <c r="AG36" s="582">
        <f t="shared" si="7"/>
        <v>2512.4582156873894</v>
      </c>
      <c r="AH36" s="581"/>
    </row>
    <row r="37" spans="2:34" x14ac:dyDescent="0.25">
      <c r="B37" s="2" t="s">
        <v>7</v>
      </c>
      <c r="C37" s="15">
        <v>3142</v>
      </c>
      <c r="D37" s="4">
        <v>-385.22793999999993</v>
      </c>
      <c r="E37" s="4">
        <v>482</v>
      </c>
      <c r="F37" s="4">
        <v>127.33101000000001</v>
      </c>
      <c r="G37" s="4">
        <v>968</v>
      </c>
      <c r="H37" s="389">
        <v>12482.180835450949</v>
      </c>
      <c r="I37" s="389">
        <v>17245.27963464132</v>
      </c>
      <c r="J37" s="389">
        <f t="shared" si="10"/>
        <v>8170.9308909763904</v>
      </c>
      <c r="K37" s="389">
        <f t="shared" si="11"/>
        <v>11228.134251729667</v>
      </c>
      <c r="L37" s="389">
        <v>1500</v>
      </c>
      <c r="M37" s="389">
        <v>-300</v>
      </c>
      <c r="N37" s="548">
        <f t="shared" si="12"/>
        <v>9670.9308909763895</v>
      </c>
      <c r="O37" s="548">
        <f t="shared" si="9"/>
        <v>10928.134251729667</v>
      </c>
      <c r="P37" s="504">
        <f t="shared" si="13"/>
        <v>20599.065142706058</v>
      </c>
      <c r="Q37" s="9"/>
      <c r="R37" s="9"/>
      <c r="S37" s="421">
        <v>11541.814077488338</v>
      </c>
      <c r="T37" s="444">
        <v>9629.4567882088395</v>
      </c>
      <c r="U37" s="542">
        <v>21171.270865697177</v>
      </c>
      <c r="V37" s="544"/>
      <c r="W37" s="582">
        <f t="shared" si="2"/>
        <v>-1870.8831865119482</v>
      </c>
      <c r="X37" s="582">
        <f t="shared" si="3"/>
        <v>1298.6774635208276</v>
      </c>
      <c r="Y37" s="582">
        <f t="shared" si="4"/>
        <v>-572.20572299111882</v>
      </c>
      <c r="Z37" s="581"/>
      <c r="AA37" s="587">
        <v>9583</v>
      </c>
      <c r="AB37" s="587">
        <v>7053.7868982057116</v>
      </c>
      <c r="AC37" s="542">
        <f t="shared" si="0"/>
        <v>16636.786898205712</v>
      </c>
      <c r="AD37" s="544"/>
      <c r="AE37" s="582">
        <f t="shared" si="5"/>
        <v>87.930890976389492</v>
      </c>
      <c r="AF37" s="582">
        <f t="shared" si="6"/>
        <v>3874.3473535239555</v>
      </c>
      <c r="AG37" s="582">
        <f t="shared" si="7"/>
        <v>3962.2782445003468</v>
      </c>
      <c r="AH37" s="581"/>
    </row>
    <row r="38" spans="2:34" x14ac:dyDescent="0.25">
      <c r="B38" s="2" t="s">
        <v>37</v>
      </c>
      <c r="C38" s="15">
        <v>3143</v>
      </c>
      <c r="D38" s="4">
        <v>5738.5083099999993</v>
      </c>
      <c r="E38" s="4">
        <v>75</v>
      </c>
      <c r="F38" s="4">
        <v>1217.4577400000003</v>
      </c>
      <c r="G38" s="4">
        <v>692</v>
      </c>
      <c r="H38" s="389">
        <v>20816.419651009717</v>
      </c>
      <c r="I38" s="389">
        <v>10318.326214743356</v>
      </c>
      <c r="J38" s="389">
        <f t="shared" si="10"/>
        <v>13626.587261329192</v>
      </c>
      <c r="K38" s="389">
        <f t="shared" si="11"/>
        <v>6718.1022544601756</v>
      </c>
      <c r="L38" s="389"/>
      <c r="M38" s="389"/>
      <c r="N38" s="548">
        <f t="shared" si="12"/>
        <v>13626.587261329192</v>
      </c>
      <c r="O38" s="548">
        <f t="shared" si="9"/>
        <v>6718.1022544601756</v>
      </c>
      <c r="P38" s="504">
        <f t="shared" si="13"/>
        <v>20344.689515789367</v>
      </c>
      <c r="Q38" s="9"/>
      <c r="R38" s="9"/>
      <c r="S38" s="421">
        <v>15557.608543687515</v>
      </c>
      <c r="T38" s="444">
        <v>7284.6812632955389</v>
      </c>
      <c r="U38" s="542">
        <v>22842.289806983055</v>
      </c>
      <c r="V38" s="544"/>
      <c r="W38" s="582">
        <f t="shared" si="2"/>
        <v>-1931.0212823583224</v>
      </c>
      <c r="X38" s="582">
        <f t="shared" si="3"/>
        <v>-566.57900883536331</v>
      </c>
      <c r="Y38" s="582">
        <f t="shared" si="4"/>
        <v>-2497.6002911936885</v>
      </c>
      <c r="Z38" s="581"/>
      <c r="AA38" s="587">
        <v>13686</v>
      </c>
      <c r="AB38" s="587">
        <v>5854.6610711807061</v>
      </c>
      <c r="AC38" s="542">
        <f t="shared" si="0"/>
        <v>19540.661071180708</v>
      </c>
      <c r="AD38" s="544"/>
      <c r="AE38" s="582">
        <f t="shared" si="5"/>
        <v>-59.412738670807812</v>
      </c>
      <c r="AF38" s="582">
        <f t="shared" si="6"/>
        <v>863.44118327946944</v>
      </c>
      <c r="AG38" s="582">
        <f t="shared" si="7"/>
        <v>804.0284446086589</v>
      </c>
      <c r="AH38" s="581"/>
    </row>
    <row r="39" spans="2:34" x14ac:dyDescent="0.25">
      <c r="B39" s="2" t="s">
        <v>38</v>
      </c>
      <c r="C39" s="15">
        <v>3144</v>
      </c>
      <c r="D39" s="4">
        <v>659.56196999999997</v>
      </c>
      <c r="E39" s="4">
        <v>75</v>
      </c>
      <c r="F39" s="4">
        <v>70.012</v>
      </c>
      <c r="G39" s="4">
        <v>58</v>
      </c>
      <c r="H39" s="389">
        <v>5797.1480956019413</v>
      </c>
      <c r="I39" s="389">
        <v>10510.159976390934</v>
      </c>
      <c r="J39" s="389">
        <f t="shared" si="10"/>
        <v>3794.8574114058306</v>
      </c>
      <c r="K39" s="389">
        <f t="shared" si="11"/>
        <v>6843.0022430614972</v>
      </c>
      <c r="L39" s="389"/>
      <c r="M39" s="389"/>
      <c r="N39" s="548">
        <f t="shared" si="12"/>
        <v>3794.8574114058306</v>
      </c>
      <c r="O39" s="548">
        <f t="shared" si="9"/>
        <v>6843.0022430614972</v>
      </c>
      <c r="P39" s="504">
        <f t="shared" si="13"/>
        <v>10637.859654467327</v>
      </c>
      <c r="Q39" s="9"/>
      <c r="R39" s="9"/>
      <c r="S39" s="421">
        <v>3692.08363377666</v>
      </c>
      <c r="T39" s="444">
        <v>6762.5770401651225</v>
      </c>
      <c r="U39" s="542">
        <v>10454.660673941782</v>
      </c>
      <c r="V39" s="544"/>
      <c r="W39" s="582">
        <f t="shared" si="2"/>
        <v>102.77377762917058</v>
      </c>
      <c r="X39" s="582">
        <f t="shared" si="3"/>
        <v>80.425202896374685</v>
      </c>
      <c r="Y39" s="582">
        <f t="shared" si="4"/>
        <v>183.19898052554527</v>
      </c>
      <c r="Z39" s="580"/>
      <c r="AA39" s="587">
        <v>3279</v>
      </c>
      <c r="AB39" s="587">
        <v>5646.4817470943817</v>
      </c>
      <c r="AC39" s="542">
        <f t="shared" si="0"/>
        <v>8925.4817470943817</v>
      </c>
      <c r="AD39" s="544"/>
      <c r="AE39" s="582">
        <f t="shared" si="5"/>
        <v>515.85741140583059</v>
      </c>
      <c r="AF39" s="582">
        <f t="shared" si="6"/>
        <v>1196.5204959671155</v>
      </c>
      <c r="AG39" s="582">
        <f t="shared" si="7"/>
        <v>1712.3779073729456</v>
      </c>
      <c r="AH39" s="580"/>
    </row>
    <row r="40" spans="2:34" ht="15.75" thickBot="1" x14ac:dyDescent="0.3">
      <c r="B40" s="18" t="s">
        <v>39</v>
      </c>
      <c r="C40" s="19">
        <v>3145</v>
      </c>
      <c r="D40" s="4">
        <v>4827.9361299999991</v>
      </c>
      <c r="E40" s="4">
        <v>343</v>
      </c>
      <c r="F40" s="4">
        <v>30.534600000000324</v>
      </c>
      <c r="G40" s="611">
        <v>1749</v>
      </c>
      <c r="H40" s="612">
        <v>7560.6028460248326</v>
      </c>
      <c r="I40" s="612">
        <v>15010.30378481409</v>
      </c>
      <c r="J40" s="612">
        <f t="shared" si="10"/>
        <v>4949.2283570779136</v>
      </c>
      <c r="K40" s="612">
        <f t="shared" si="11"/>
        <v>9772.9761201778219</v>
      </c>
      <c r="L40" s="612"/>
      <c r="M40" s="612"/>
      <c r="N40" s="613">
        <f t="shared" si="12"/>
        <v>4949.2283570779136</v>
      </c>
      <c r="O40" s="613">
        <f t="shared" si="9"/>
        <v>9772.9761201778219</v>
      </c>
      <c r="P40" s="503">
        <f t="shared" si="13"/>
        <v>14722.204477255735</v>
      </c>
      <c r="Q40" s="9"/>
      <c r="R40" s="9"/>
      <c r="S40" s="422">
        <v>6455.9864610960149</v>
      </c>
      <c r="T40" s="445">
        <v>9314.4163481195774</v>
      </c>
      <c r="U40" s="542">
        <v>15770.402809215593</v>
      </c>
      <c r="V40" s="544"/>
      <c r="W40" s="582">
        <f t="shared" si="2"/>
        <v>-1506.7581040181012</v>
      </c>
      <c r="X40" s="582">
        <f t="shared" si="3"/>
        <v>458.55977205824456</v>
      </c>
      <c r="Y40" s="582">
        <f t="shared" si="4"/>
        <v>-1048.1983319598585</v>
      </c>
      <c r="Z40" s="580"/>
      <c r="AA40" s="587">
        <v>6322</v>
      </c>
      <c r="AB40" s="587">
        <v>7511.758200287577</v>
      </c>
      <c r="AC40" s="542">
        <f t="shared" si="0"/>
        <v>13833.758200287577</v>
      </c>
      <c r="AD40" s="544"/>
      <c r="AE40" s="582">
        <f t="shared" si="5"/>
        <v>-1372.7716429220864</v>
      </c>
      <c r="AF40" s="582">
        <f t="shared" si="6"/>
        <v>2261.217919890245</v>
      </c>
      <c r="AG40" s="582">
        <f t="shared" si="7"/>
        <v>888.44627696815769</v>
      </c>
      <c r="AH40" s="580"/>
    </row>
    <row r="41" spans="2:34" x14ac:dyDescent="0.25">
      <c r="B41" s="20" t="s">
        <v>53</v>
      </c>
      <c r="C41" s="21">
        <v>3150</v>
      </c>
      <c r="D41" s="24">
        <v>0</v>
      </c>
      <c r="E41" s="551">
        <v>0</v>
      </c>
      <c r="F41" s="551">
        <v>0</v>
      </c>
      <c r="G41" s="24"/>
      <c r="H41" s="426"/>
      <c r="I41" s="426" t="s">
        <v>173</v>
      </c>
      <c r="J41" s="426">
        <f t="shared" si="10"/>
        <v>0</v>
      </c>
      <c r="K41" s="426"/>
      <c r="L41" s="426"/>
      <c r="M41" s="426"/>
      <c r="N41" s="426">
        <f t="shared" si="12"/>
        <v>0</v>
      </c>
      <c r="O41" s="426">
        <f t="shared" si="9"/>
        <v>0</v>
      </c>
      <c r="P41" s="505">
        <f t="shared" si="13"/>
        <v>0</v>
      </c>
      <c r="Q41" s="591">
        <f>SUM(P42:P45)</f>
        <v>48952.277499978489</v>
      </c>
      <c r="R41" s="398"/>
      <c r="S41" s="420">
        <v>0</v>
      </c>
      <c r="T41" s="446">
        <v>0</v>
      </c>
      <c r="U41" s="590">
        <v>0</v>
      </c>
      <c r="V41" s="591">
        <f>SUM(U42:U45)</f>
        <v>43842.706351180481</v>
      </c>
      <c r="W41" s="582">
        <f t="shared" si="2"/>
        <v>0</v>
      </c>
      <c r="X41" s="582">
        <f t="shared" si="3"/>
        <v>0</v>
      </c>
      <c r="Y41" s="582">
        <f t="shared" si="4"/>
        <v>0</v>
      </c>
      <c r="Z41" s="580"/>
      <c r="AA41" s="592">
        <v>0</v>
      </c>
      <c r="AB41" s="592">
        <v>0</v>
      </c>
      <c r="AC41" s="590">
        <f t="shared" si="0"/>
        <v>0</v>
      </c>
      <c r="AD41" s="591">
        <f>SUM(AC42:AC45)</f>
        <v>34939.117123066317</v>
      </c>
      <c r="AE41" s="593">
        <f t="shared" si="5"/>
        <v>0</v>
      </c>
      <c r="AF41" s="593">
        <f t="shared" si="6"/>
        <v>0</v>
      </c>
      <c r="AG41" s="593">
        <f t="shared" si="7"/>
        <v>0</v>
      </c>
      <c r="AH41" s="580"/>
    </row>
    <row r="42" spans="2:34" x14ac:dyDescent="0.25">
      <c r="B42" s="2" t="s">
        <v>40</v>
      </c>
      <c r="C42" s="15">
        <v>3151</v>
      </c>
      <c r="D42" s="4">
        <v>1697.3410399999998</v>
      </c>
      <c r="E42" s="4">
        <v>196</v>
      </c>
      <c r="F42" s="4">
        <v>138.93100000000001</v>
      </c>
      <c r="G42" s="4">
        <v>35</v>
      </c>
      <c r="H42" s="389">
        <v>3263.7262621101331</v>
      </c>
      <c r="I42" s="389">
        <v>27677.84441146021</v>
      </c>
      <c r="J42" s="389">
        <f t="shared" si="10"/>
        <v>2136.460133555112</v>
      </c>
      <c r="K42" s="389">
        <f t="shared" si="11"/>
        <v>18020.615463149872</v>
      </c>
      <c r="L42" s="389"/>
      <c r="M42" s="389"/>
      <c r="N42" s="548">
        <f t="shared" si="12"/>
        <v>2136.460133555112</v>
      </c>
      <c r="O42" s="548">
        <f t="shared" si="9"/>
        <v>18020.615463149872</v>
      </c>
      <c r="P42" s="504">
        <f t="shared" si="13"/>
        <v>20157.075596704984</v>
      </c>
      <c r="Q42" s="9"/>
      <c r="R42" s="9"/>
      <c r="S42" s="421">
        <v>2001.5590892797534</v>
      </c>
      <c r="T42" s="444">
        <v>16519.176699699143</v>
      </c>
      <c r="U42" s="542">
        <v>18520.735788978895</v>
      </c>
      <c r="V42" s="544"/>
      <c r="W42" s="582">
        <f t="shared" si="2"/>
        <v>134.90104427535857</v>
      </c>
      <c r="X42" s="582">
        <f t="shared" si="3"/>
        <v>1501.4387634507293</v>
      </c>
      <c r="Y42" s="582">
        <f t="shared" si="4"/>
        <v>1636.3398077260899</v>
      </c>
      <c r="Z42" s="580"/>
      <c r="AA42" s="587">
        <v>1983</v>
      </c>
      <c r="AB42" s="587">
        <v>13386.905737981917</v>
      </c>
      <c r="AC42" s="542">
        <f t="shared" si="0"/>
        <v>15369.905737981917</v>
      </c>
      <c r="AD42" s="544"/>
      <c r="AE42" s="582">
        <f t="shared" si="5"/>
        <v>153.46013355511195</v>
      </c>
      <c r="AF42" s="582">
        <f t="shared" si="6"/>
        <v>4633.7097251679552</v>
      </c>
      <c r="AG42" s="582">
        <f t="shared" si="7"/>
        <v>4787.1698587230676</v>
      </c>
      <c r="AH42" s="580"/>
    </row>
    <row r="43" spans="2:34" x14ac:dyDescent="0.25">
      <c r="B43" s="2" t="s">
        <v>41</v>
      </c>
      <c r="C43" s="15">
        <v>3152</v>
      </c>
      <c r="D43" s="4">
        <v>948.41313000000036</v>
      </c>
      <c r="E43" s="4">
        <v>88</v>
      </c>
      <c r="F43" s="4">
        <v>279.06599999999997</v>
      </c>
      <c r="G43" s="4">
        <v>379</v>
      </c>
      <c r="H43" s="389">
        <v>4175.3327559058516</v>
      </c>
      <c r="I43" s="389">
        <v>8422.9778290728555</v>
      </c>
      <c r="J43" s="389">
        <f t="shared" si="10"/>
        <v>2733.2047055785324</v>
      </c>
      <c r="K43" s="389">
        <f t="shared" si="11"/>
        <v>5484.0703002691289</v>
      </c>
      <c r="L43" s="389"/>
      <c r="M43" s="389"/>
      <c r="N43" s="548">
        <f t="shared" si="12"/>
        <v>2733.2047055785324</v>
      </c>
      <c r="O43" s="548">
        <f t="shared" si="9"/>
        <v>5484.0703002691289</v>
      </c>
      <c r="P43" s="504">
        <f t="shared" si="13"/>
        <v>8217.2750058476613</v>
      </c>
      <c r="Q43" s="9"/>
      <c r="R43" s="9"/>
      <c r="S43" s="421">
        <v>2687.8059267715507</v>
      </c>
      <c r="T43" s="444">
        <v>5125.709939328287</v>
      </c>
      <c r="U43" s="542">
        <v>7813.5158660998377</v>
      </c>
      <c r="V43" s="544"/>
      <c r="W43" s="582">
        <f t="shared" si="2"/>
        <v>45.398778806981682</v>
      </c>
      <c r="X43" s="582">
        <f t="shared" si="3"/>
        <v>358.36036094084193</v>
      </c>
      <c r="Y43" s="582">
        <f t="shared" si="4"/>
        <v>403.75913974782361</v>
      </c>
      <c r="Z43" s="580"/>
      <c r="AA43" s="587">
        <v>2242</v>
      </c>
      <c r="AB43" s="587">
        <v>4097.3034385968058</v>
      </c>
      <c r="AC43" s="542">
        <f t="shared" si="0"/>
        <v>6339.3034385968058</v>
      </c>
      <c r="AD43" s="544"/>
      <c r="AE43" s="582">
        <f t="shared" si="5"/>
        <v>491.20470557853241</v>
      </c>
      <c r="AF43" s="582">
        <f t="shared" si="6"/>
        <v>1386.7668616723231</v>
      </c>
      <c r="AG43" s="582">
        <f t="shared" si="7"/>
        <v>1877.9715672508555</v>
      </c>
      <c r="AH43" s="580"/>
    </row>
    <row r="44" spans="2:34" x14ac:dyDescent="0.25">
      <c r="B44" s="2" t="s">
        <v>8</v>
      </c>
      <c r="C44" s="15">
        <v>3153</v>
      </c>
      <c r="D44" s="4">
        <v>1209.9558700000002</v>
      </c>
      <c r="E44" s="4">
        <v>78</v>
      </c>
      <c r="F44" s="4">
        <v>34.581000000000003</v>
      </c>
      <c r="G44" s="4">
        <v>17</v>
      </c>
      <c r="H44" s="389">
        <v>3536.9425093365917</v>
      </c>
      <c r="I44" s="389">
        <v>9216.0549051175221</v>
      </c>
      <c r="J44" s="389">
        <f t="shared" si="10"/>
        <v>2315.3095753160364</v>
      </c>
      <c r="K44" s="389">
        <f t="shared" si="11"/>
        <v>6000.4304910259862</v>
      </c>
      <c r="L44" s="389"/>
      <c r="M44" s="389"/>
      <c r="N44" s="548">
        <f t="shared" si="12"/>
        <v>2315.3095753160364</v>
      </c>
      <c r="O44" s="548">
        <f t="shared" si="9"/>
        <v>6000.4304910259862</v>
      </c>
      <c r="P44" s="504">
        <f t="shared" si="13"/>
        <v>8315.7400663420231</v>
      </c>
      <c r="Q44" s="9"/>
      <c r="R44" s="9"/>
      <c r="S44" s="421">
        <v>1879.0316994887612</v>
      </c>
      <c r="T44" s="444">
        <v>5319.2374306216088</v>
      </c>
      <c r="U44" s="542">
        <v>7198.2691301103696</v>
      </c>
      <c r="V44" s="544"/>
      <c r="W44" s="582">
        <f t="shared" si="2"/>
        <v>436.27787582727524</v>
      </c>
      <c r="X44" s="582">
        <f t="shared" si="3"/>
        <v>681.19306040437732</v>
      </c>
      <c r="Y44" s="582">
        <f t="shared" si="4"/>
        <v>1117.4709362316535</v>
      </c>
      <c r="Z44" s="580"/>
      <c r="AA44" s="587">
        <v>1679</v>
      </c>
      <c r="AB44" s="587">
        <v>3684.5381685110215</v>
      </c>
      <c r="AC44" s="542">
        <f t="shared" si="0"/>
        <v>5363.5381685110215</v>
      </c>
      <c r="AD44" s="544"/>
      <c r="AE44" s="582">
        <f t="shared" si="5"/>
        <v>636.30957531603644</v>
      </c>
      <c r="AF44" s="582">
        <f t="shared" si="6"/>
        <v>2315.8923225149647</v>
      </c>
      <c r="AG44" s="582">
        <f t="shared" si="7"/>
        <v>2952.2018978310016</v>
      </c>
      <c r="AH44" s="580"/>
    </row>
    <row r="45" spans="2:34" ht="15.75" thickBot="1" x14ac:dyDescent="0.3">
      <c r="B45" s="368" t="s">
        <v>42</v>
      </c>
      <c r="C45" s="369">
        <v>3154</v>
      </c>
      <c r="D45" s="4">
        <v>894.66696000000002</v>
      </c>
      <c r="E45" s="4">
        <v>0</v>
      </c>
      <c r="F45" s="4">
        <v>-3.0000000000000001E-3</v>
      </c>
      <c r="G45" s="611">
        <v>0</v>
      </c>
      <c r="H45" s="612">
        <v>1214.2745438155907</v>
      </c>
      <c r="I45" s="612">
        <v>17612.634702861717</v>
      </c>
      <c r="J45" s="612">
        <f t="shared" si="10"/>
        <v>794.87338879196966</v>
      </c>
      <c r="K45" s="612">
        <f t="shared" si="11"/>
        <v>11467.313442291845</v>
      </c>
      <c r="L45" s="612"/>
      <c r="M45" s="612"/>
      <c r="N45" s="613">
        <f t="shared" si="12"/>
        <v>794.87338879196966</v>
      </c>
      <c r="O45" s="613">
        <f t="shared" si="9"/>
        <v>11467.313442291845</v>
      </c>
      <c r="P45" s="503">
        <f t="shared" si="13"/>
        <v>12262.186831083814</v>
      </c>
      <c r="Q45" s="9"/>
      <c r="R45" s="9"/>
      <c r="S45" s="422">
        <v>837.45248344446043</v>
      </c>
      <c r="T45" s="445">
        <v>9472.733082546918</v>
      </c>
      <c r="U45" s="542">
        <v>10310.185565991378</v>
      </c>
      <c r="V45" s="544"/>
      <c r="W45" s="582">
        <f t="shared" si="2"/>
        <v>-42.579094652490767</v>
      </c>
      <c r="X45" s="582">
        <f t="shared" si="3"/>
        <v>1994.5803597449267</v>
      </c>
      <c r="Y45" s="582">
        <f t="shared" si="4"/>
        <v>1952.0012650924364</v>
      </c>
      <c r="Z45" s="580"/>
      <c r="AA45" s="587">
        <v>463</v>
      </c>
      <c r="AB45" s="587">
        <v>7403.3697779765753</v>
      </c>
      <c r="AC45" s="542">
        <f t="shared" si="0"/>
        <v>7866.3697779765753</v>
      </c>
      <c r="AD45" s="544"/>
      <c r="AE45" s="582">
        <f t="shared" si="5"/>
        <v>331.87338879196966</v>
      </c>
      <c r="AF45" s="582">
        <f t="shared" si="6"/>
        <v>4063.9436643152694</v>
      </c>
      <c r="AG45" s="582">
        <f t="shared" si="7"/>
        <v>4395.8170531072392</v>
      </c>
      <c r="AH45" s="580"/>
    </row>
    <row r="46" spans="2:34" x14ac:dyDescent="0.25">
      <c r="B46" s="20" t="s">
        <v>10</v>
      </c>
      <c r="C46" s="21">
        <v>3137</v>
      </c>
      <c r="D46" s="24">
        <v>1050.1561700000002</v>
      </c>
      <c r="E46" s="24">
        <v>364</v>
      </c>
      <c r="F46" s="24">
        <v>610.19382999999993</v>
      </c>
      <c r="G46" s="24">
        <v>13</v>
      </c>
      <c r="H46" s="426">
        <v>63.98204762458063</v>
      </c>
      <c r="I46" s="426">
        <v>0</v>
      </c>
      <c r="J46" s="426">
        <f t="shared" si="10"/>
        <v>41.88313695302439</v>
      </c>
      <c r="K46" s="426">
        <f t="shared" si="11"/>
        <v>0</v>
      </c>
      <c r="L46" s="426"/>
      <c r="M46" s="426"/>
      <c r="N46" s="426">
        <f t="shared" si="12"/>
        <v>41.88313695302439</v>
      </c>
      <c r="O46" s="426">
        <f t="shared" si="9"/>
        <v>0</v>
      </c>
      <c r="P46" s="505">
        <f t="shared" si="13"/>
        <v>41.88313695302439</v>
      </c>
      <c r="Q46" s="591">
        <f>SUM(P46:P52)</f>
        <v>46163.536565555318</v>
      </c>
      <c r="R46" s="398"/>
      <c r="S46" s="420">
        <v>57.692949498027168</v>
      </c>
      <c r="T46" s="446">
        <v>0</v>
      </c>
      <c r="U46" s="590">
        <v>57.692949498027168</v>
      </c>
      <c r="V46" s="591">
        <f>SUM(U46:U52)</f>
        <v>47198.232617540059</v>
      </c>
      <c r="W46" s="582">
        <f t="shared" si="2"/>
        <v>-15.809812545002778</v>
      </c>
      <c r="X46" s="582">
        <f t="shared" si="3"/>
        <v>0</v>
      </c>
      <c r="Y46" s="582">
        <f t="shared" si="4"/>
        <v>-15.809812545002778</v>
      </c>
      <c r="Z46" s="580"/>
      <c r="AA46" s="592">
        <v>57</v>
      </c>
      <c r="AB46" s="592">
        <v>0</v>
      </c>
      <c r="AC46" s="590">
        <f t="shared" si="0"/>
        <v>57</v>
      </c>
      <c r="AD46" s="591">
        <f>SUM(AC46:AC52)</f>
        <v>38168.589999999997</v>
      </c>
      <c r="AE46" s="593">
        <f t="shared" si="5"/>
        <v>-15.11686304697561</v>
      </c>
      <c r="AF46" s="593">
        <f t="shared" si="6"/>
        <v>0</v>
      </c>
      <c r="AG46" s="593">
        <f t="shared" si="7"/>
        <v>-15.11686304697561</v>
      </c>
      <c r="AH46" s="580"/>
    </row>
    <row r="47" spans="2:34" x14ac:dyDescent="0.25">
      <c r="B47" s="2" t="s">
        <v>149</v>
      </c>
      <c r="C47" s="15">
        <v>3701</v>
      </c>
      <c r="D47" s="4">
        <v>2087.0397899999998</v>
      </c>
      <c r="E47" s="4">
        <v>1</v>
      </c>
      <c r="F47" s="4">
        <v>80.974170000000015</v>
      </c>
      <c r="G47" s="4">
        <v>215</v>
      </c>
      <c r="H47" s="389">
        <v>3650.7263600409451</v>
      </c>
      <c r="I47" s="389">
        <v>0</v>
      </c>
      <c r="J47" s="389">
        <f t="shared" si="10"/>
        <v>2389.7933528602562</v>
      </c>
      <c r="K47" s="389">
        <f t="shared" si="11"/>
        <v>0</v>
      </c>
      <c r="L47" s="389"/>
      <c r="M47" s="389">
        <v>2052.7530000000002</v>
      </c>
      <c r="N47" s="548">
        <f t="shared" si="12"/>
        <v>2389.7933528602562</v>
      </c>
      <c r="O47" s="548">
        <f t="shared" si="9"/>
        <v>2052.7530000000002</v>
      </c>
      <c r="P47" s="504">
        <f t="shared" si="13"/>
        <v>4442.5463528602559</v>
      </c>
      <c r="Q47" s="9"/>
      <c r="R47" s="9"/>
      <c r="S47" s="421">
        <v>2860.6589076406076</v>
      </c>
      <c r="T47" s="444">
        <v>2214</v>
      </c>
      <c r="U47" s="542">
        <v>5074.6589076406071</v>
      </c>
      <c r="V47" s="544"/>
      <c r="W47" s="582">
        <f t="shared" si="2"/>
        <v>-470.86555478035143</v>
      </c>
      <c r="X47" s="582">
        <f t="shared" si="3"/>
        <v>-161.24699999999984</v>
      </c>
      <c r="Y47" s="582">
        <f t="shared" si="4"/>
        <v>-632.11255478035127</v>
      </c>
      <c r="Z47" s="580"/>
      <c r="AA47" s="587">
        <v>2546</v>
      </c>
      <c r="AB47" s="587">
        <v>1454</v>
      </c>
      <c r="AC47" s="542">
        <f t="shared" si="0"/>
        <v>4000</v>
      </c>
      <c r="AD47" s="544"/>
      <c r="AE47" s="582">
        <f t="shared" si="5"/>
        <v>-156.20664713974384</v>
      </c>
      <c r="AF47" s="582">
        <f t="shared" si="6"/>
        <v>598.75300000000016</v>
      </c>
      <c r="AG47" s="582">
        <f t="shared" si="7"/>
        <v>442.54635286025587</v>
      </c>
      <c r="AH47" s="580"/>
    </row>
    <row r="48" spans="2:34" x14ac:dyDescent="0.25">
      <c r="B48" s="2" t="s">
        <v>148</v>
      </c>
      <c r="C48" s="15">
        <v>3702</v>
      </c>
      <c r="D48" s="4">
        <v>1100.5162599999994</v>
      </c>
      <c r="E48" s="4">
        <v>24</v>
      </c>
      <c r="F48" s="4">
        <v>12.728659999999655</v>
      </c>
      <c r="G48" s="4">
        <v>1224</v>
      </c>
      <c r="H48" s="389">
        <v>11922.001792484216</v>
      </c>
      <c r="I48" s="389">
        <v>0</v>
      </c>
      <c r="J48" s="389">
        <f t="shared" si="10"/>
        <v>7804.2334118263771</v>
      </c>
      <c r="K48" s="389">
        <f t="shared" si="11"/>
        <v>0</v>
      </c>
      <c r="L48" s="389"/>
      <c r="M48" s="389">
        <v>1000</v>
      </c>
      <c r="N48" s="548">
        <f t="shared" si="12"/>
        <v>7804.2334118263771</v>
      </c>
      <c r="O48" s="548">
        <f t="shared" si="9"/>
        <v>1000</v>
      </c>
      <c r="P48" s="504">
        <f t="shared" si="13"/>
        <v>8804.2334118263771</v>
      </c>
      <c r="Q48" s="9"/>
      <c r="R48" s="9"/>
      <c r="S48" s="421">
        <v>7155.4097733408244</v>
      </c>
      <c r="T48" s="444">
        <v>3000</v>
      </c>
      <c r="U48" s="542">
        <v>10155.409773340823</v>
      </c>
      <c r="V48" s="544"/>
      <c r="W48" s="582">
        <f t="shared" si="2"/>
        <v>648.82363848555269</v>
      </c>
      <c r="X48" s="582">
        <f t="shared" si="3"/>
        <v>-2000</v>
      </c>
      <c r="Y48" s="582">
        <f t="shared" si="4"/>
        <v>-1351.1763615144464</v>
      </c>
      <c r="Z48" s="580"/>
      <c r="AA48" s="587">
        <v>6603</v>
      </c>
      <c r="AB48" s="587">
        <v>1900</v>
      </c>
      <c r="AC48" s="542">
        <f t="shared" si="0"/>
        <v>8503</v>
      </c>
      <c r="AD48" s="544"/>
      <c r="AE48" s="582">
        <f t="shared" si="5"/>
        <v>1201.2334118263771</v>
      </c>
      <c r="AF48" s="582">
        <f t="shared" si="6"/>
        <v>-900</v>
      </c>
      <c r="AG48" s="582">
        <f t="shared" si="7"/>
        <v>301.23341182637705</v>
      </c>
      <c r="AH48" s="580"/>
    </row>
    <row r="49" spans="2:34" x14ac:dyDescent="0.25">
      <c r="B49" s="2" t="s">
        <v>25</v>
      </c>
      <c r="C49" s="15">
        <v>3703</v>
      </c>
      <c r="D49" s="4">
        <v>-3.7999600000000062</v>
      </c>
      <c r="E49" s="4">
        <v>-173</v>
      </c>
      <c r="F49" s="4">
        <v>39.894169999999981</v>
      </c>
      <c r="G49" s="4">
        <v>925</v>
      </c>
      <c r="H49" s="389">
        <v>15708.319543828089</v>
      </c>
      <c r="I49" s="389">
        <v>0</v>
      </c>
      <c r="J49" s="389">
        <f t="shared" si="10"/>
        <v>10282.78592483283</v>
      </c>
      <c r="K49" s="389">
        <f t="shared" si="11"/>
        <v>0</v>
      </c>
      <c r="L49" s="389">
        <v>-1500</v>
      </c>
      <c r="M49" s="389">
        <v>300</v>
      </c>
      <c r="N49" s="548">
        <f t="shared" si="12"/>
        <v>8782.7859248328296</v>
      </c>
      <c r="O49" s="548">
        <f t="shared" si="9"/>
        <v>300</v>
      </c>
      <c r="P49" s="504">
        <f t="shared" si="13"/>
        <v>9082.7859248328296</v>
      </c>
      <c r="Q49" s="9"/>
      <c r="R49" s="9"/>
      <c r="S49" s="421">
        <v>7355.1387103226416</v>
      </c>
      <c r="T49" s="444">
        <v>500</v>
      </c>
      <c r="U49" s="542">
        <v>7855.1387103226416</v>
      </c>
      <c r="V49" s="544"/>
      <c r="W49" s="582">
        <f t="shared" si="2"/>
        <v>1427.647214510188</v>
      </c>
      <c r="X49" s="582">
        <f t="shared" si="3"/>
        <v>-200</v>
      </c>
      <c r="Y49" s="582">
        <f t="shared" si="4"/>
        <v>1227.647214510188</v>
      </c>
      <c r="Z49" s="580"/>
      <c r="AA49" s="587">
        <v>6295</v>
      </c>
      <c r="AB49" s="587">
        <v>0</v>
      </c>
      <c r="AC49" s="542">
        <f t="shared" si="0"/>
        <v>6295</v>
      </c>
      <c r="AD49" s="544"/>
      <c r="AE49" s="582">
        <f t="shared" si="5"/>
        <v>2487.7859248328296</v>
      </c>
      <c r="AF49" s="582">
        <f t="shared" si="6"/>
        <v>300</v>
      </c>
      <c r="AG49" s="582">
        <f t="shared" si="7"/>
        <v>2787.7859248328296</v>
      </c>
      <c r="AH49" s="580"/>
    </row>
    <row r="50" spans="2:34" x14ac:dyDescent="0.25">
      <c r="B50" s="2" t="s">
        <v>150</v>
      </c>
      <c r="C50" s="15">
        <v>3704</v>
      </c>
      <c r="D50" s="4">
        <v>5697.8806699999996</v>
      </c>
      <c r="E50" s="4">
        <v>59</v>
      </c>
      <c r="F50" s="4">
        <v>585.04203000000007</v>
      </c>
      <c r="G50" s="4">
        <v>532</v>
      </c>
      <c r="H50" s="389">
        <v>6636.2947425138973</v>
      </c>
      <c r="I50" s="389">
        <v>0</v>
      </c>
      <c r="J50" s="389">
        <f t="shared" si="10"/>
        <v>4344.1692143432256</v>
      </c>
      <c r="K50" s="389">
        <f t="shared" si="11"/>
        <v>0</v>
      </c>
      <c r="L50" s="389"/>
      <c r="M50" s="389">
        <v>1951.0650000000001</v>
      </c>
      <c r="N50" s="548">
        <f t="shared" si="12"/>
        <v>4344.1692143432256</v>
      </c>
      <c r="O50" s="548">
        <f t="shared" si="9"/>
        <v>1951.0650000000001</v>
      </c>
      <c r="P50" s="504">
        <f t="shared" si="13"/>
        <v>6295.2342143432252</v>
      </c>
      <c r="Q50" s="9"/>
      <c r="R50" s="9"/>
      <c r="S50" s="421">
        <v>5116.8147224313016</v>
      </c>
      <c r="T50" s="444">
        <v>2217</v>
      </c>
      <c r="U50" s="542">
        <v>7333.8147224313016</v>
      </c>
      <c r="V50" s="544"/>
      <c r="W50" s="582">
        <f t="shared" si="2"/>
        <v>-772.64550808807599</v>
      </c>
      <c r="X50" s="582">
        <f t="shared" si="3"/>
        <v>-265.93499999999995</v>
      </c>
      <c r="Y50" s="582">
        <f t="shared" si="4"/>
        <v>-1038.5805080880764</v>
      </c>
      <c r="Z50" s="580"/>
      <c r="AA50" s="587">
        <v>4683</v>
      </c>
      <c r="AB50" s="587">
        <v>1750</v>
      </c>
      <c r="AC50" s="542">
        <f t="shared" si="0"/>
        <v>6433</v>
      </c>
      <c r="AD50" s="544"/>
      <c r="AE50" s="582">
        <f t="shared" si="5"/>
        <v>-338.83078565677442</v>
      </c>
      <c r="AF50" s="582">
        <f t="shared" si="6"/>
        <v>201.06500000000005</v>
      </c>
      <c r="AG50" s="582">
        <f t="shared" si="7"/>
        <v>-137.76578565677482</v>
      </c>
      <c r="AH50" s="580"/>
    </row>
    <row r="51" spans="2:34" ht="15.75" thickBot="1" x14ac:dyDescent="0.3">
      <c r="B51" s="368" t="s">
        <v>151</v>
      </c>
      <c r="C51" s="369">
        <v>3705</v>
      </c>
      <c r="D51" s="4">
        <v>3065.0685700000004</v>
      </c>
      <c r="E51" s="4">
        <v>112</v>
      </c>
      <c r="F51" s="4">
        <v>1128.4929500000007</v>
      </c>
      <c r="G51" s="4">
        <v>1475</v>
      </c>
      <c r="H51" s="389">
        <v>14593.027715788465</v>
      </c>
      <c r="I51" s="612">
        <v>7740.9848871829536</v>
      </c>
      <c r="J51" s="389">
        <f t="shared" si="10"/>
        <v>9552.7073776369325</v>
      </c>
      <c r="K51" s="389">
        <f t="shared" si="11"/>
        <v>5040.0352673497482</v>
      </c>
      <c r="L51" s="389"/>
      <c r="M51" s="389">
        <v>525.11800000000005</v>
      </c>
      <c r="N51" s="548">
        <f t="shared" si="12"/>
        <v>9552.7073776369325</v>
      </c>
      <c r="O51" s="548">
        <f t="shared" si="9"/>
        <v>5565.1532673497486</v>
      </c>
      <c r="P51" s="504">
        <f t="shared" si="13"/>
        <v>15117.860644986682</v>
      </c>
      <c r="Q51" s="9"/>
      <c r="R51" s="9"/>
      <c r="S51" s="421">
        <v>9131.9557275356856</v>
      </c>
      <c r="T51" s="444">
        <v>5182.6965611364849</v>
      </c>
      <c r="U51" s="542">
        <v>14314.65228867217</v>
      </c>
      <c r="V51" s="544"/>
      <c r="W51" s="582">
        <f t="shared" si="2"/>
        <v>420.75165010124692</v>
      </c>
      <c r="X51" s="582">
        <f t="shared" si="3"/>
        <v>382.45670621326371</v>
      </c>
      <c r="Y51" s="582">
        <f t="shared" si="4"/>
        <v>803.20835631451155</v>
      </c>
      <c r="Z51" s="581"/>
      <c r="AA51" s="587">
        <v>7507</v>
      </c>
      <c r="AB51" s="587">
        <v>3552.59</v>
      </c>
      <c r="AC51" s="542">
        <f t="shared" si="0"/>
        <v>11059.59</v>
      </c>
      <c r="AD51" s="544"/>
      <c r="AE51" s="582">
        <f t="shared" si="5"/>
        <v>2045.7073776369325</v>
      </c>
      <c r="AF51" s="582">
        <f t="shared" si="6"/>
        <v>2012.5632673497485</v>
      </c>
      <c r="AG51" s="582">
        <f t="shared" si="7"/>
        <v>4058.2706449866819</v>
      </c>
      <c r="AH51" s="581"/>
    </row>
    <row r="52" spans="2:34" s="61" customFormat="1" ht="15.75" thickBot="1" x14ac:dyDescent="0.3">
      <c r="B52" s="18" t="s">
        <v>127</v>
      </c>
      <c r="C52" s="19">
        <v>3706</v>
      </c>
      <c r="D52" s="4">
        <v>80.960189999999997</v>
      </c>
      <c r="E52" s="4">
        <v>113</v>
      </c>
      <c r="F52" s="4">
        <v>106.10513</v>
      </c>
      <c r="G52" s="611">
        <v>59</v>
      </c>
      <c r="H52" s="612">
        <v>2441.3569158716336</v>
      </c>
      <c r="I52" s="612">
        <v>0</v>
      </c>
      <c r="J52" s="612">
        <f t="shared" si="10"/>
        <v>1598.1308797529293</v>
      </c>
      <c r="K52" s="612">
        <f t="shared" si="11"/>
        <v>0</v>
      </c>
      <c r="L52" s="612"/>
      <c r="M52" s="612">
        <v>780.86199999999997</v>
      </c>
      <c r="N52" s="613">
        <f t="shared" si="12"/>
        <v>1598.1308797529293</v>
      </c>
      <c r="O52" s="613">
        <f t="shared" si="9"/>
        <v>780.86199999999997</v>
      </c>
      <c r="P52" s="503">
        <f t="shared" si="13"/>
        <v>2378.9928797529292</v>
      </c>
      <c r="Q52" s="9"/>
      <c r="R52" s="9"/>
      <c r="S52" s="422">
        <v>1690.865265634488</v>
      </c>
      <c r="T52" s="445">
        <v>716</v>
      </c>
      <c r="U52" s="542">
        <v>2406.865265634488</v>
      </c>
      <c r="V52" s="544"/>
      <c r="W52" s="582">
        <f t="shared" si="2"/>
        <v>-92.734385881558637</v>
      </c>
      <c r="X52" s="582">
        <f t="shared" si="3"/>
        <v>64.861999999999966</v>
      </c>
      <c r="Y52" s="582">
        <f t="shared" si="4"/>
        <v>-27.872385881558785</v>
      </c>
      <c r="Z52" s="581"/>
      <c r="AA52" s="587">
        <v>1351</v>
      </c>
      <c r="AB52" s="587">
        <v>470</v>
      </c>
      <c r="AC52" s="542">
        <f t="shared" si="0"/>
        <v>1821</v>
      </c>
      <c r="AD52" s="544"/>
      <c r="AE52" s="582">
        <f t="shared" si="5"/>
        <v>247.13087975292933</v>
      </c>
      <c r="AF52" s="582">
        <f t="shared" si="6"/>
        <v>310.86199999999997</v>
      </c>
      <c r="AG52" s="582">
        <f t="shared" si="7"/>
        <v>557.99287975292918</v>
      </c>
      <c r="AH52" s="581"/>
    </row>
    <row r="53" spans="2:34" x14ac:dyDescent="0.25">
      <c r="B53" s="20" t="s">
        <v>15</v>
      </c>
      <c r="C53" s="21">
        <v>3720</v>
      </c>
      <c r="D53" s="24">
        <v>6520.1323400000001</v>
      </c>
      <c r="E53" s="24">
        <v>2739</v>
      </c>
      <c r="F53" s="24">
        <v>-3.0000000002328299E-3</v>
      </c>
      <c r="G53" s="24">
        <v>0</v>
      </c>
      <c r="H53" s="426">
        <v>1269.0943002704471</v>
      </c>
      <c r="I53" s="426">
        <v>0</v>
      </c>
      <c r="J53" s="426">
        <f t="shared" si="10"/>
        <v>830.75881998045361</v>
      </c>
      <c r="K53" s="426">
        <f t="shared" si="11"/>
        <v>0</v>
      </c>
      <c r="L53" s="426">
        <v>-789.57799999999997</v>
      </c>
      <c r="M53" s="426"/>
      <c r="N53" s="426">
        <f t="shared" si="12"/>
        <v>41.180819980453634</v>
      </c>
      <c r="O53" s="426">
        <f t="shared" si="9"/>
        <v>0</v>
      </c>
      <c r="P53" s="505">
        <f t="shared" si="13"/>
        <v>41.180819980453634</v>
      </c>
      <c r="Q53" s="591">
        <f>SUM(P53:P61)</f>
        <v>72901.952325866965</v>
      </c>
      <c r="R53" s="398"/>
      <c r="S53" s="420">
        <v>228.82475536631821</v>
      </c>
      <c r="T53" s="446">
        <v>0</v>
      </c>
      <c r="U53" s="590">
        <v>228.82475536631821</v>
      </c>
      <c r="V53" s="591">
        <f>SUM(U53:U61)</f>
        <v>84978.411513444109</v>
      </c>
      <c r="W53" s="582">
        <f t="shared" si="2"/>
        <v>-187.64393538586458</v>
      </c>
      <c r="X53" s="582">
        <f t="shared" si="3"/>
        <v>0</v>
      </c>
      <c r="Y53" s="582">
        <f t="shared" si="4"/>
        <v>-187.64393538586458</v>
      </c>
      <c r="Z53" s="581"/>
      <c r="AA53" s="592">
        <v>38</v>
      </c>
      <c r="AB53" s="592">
        <v>0</v>
      </c>
      <c r="AC53" s="590">
        <f t="shared" si="0"/>
        <v>38</v>
      </c>
      <c r="AD53" s="591">
        <f>SUM(AC53:AC61)</f>
        <v>76143.59</v>
      </c>
      <c r="AE53" s="593">
        <f t="shared" si="5"/>
        <v>3.1808199804536343</v>
      </c>
      <c r="AF53" s="593">
        <f t="shared" si="6"/>
        <v>0</v>
      </c>
      <c r="AG53" s="593">
        <f t="shared" si="7"/>
        <v>3.1808199804536343</v>
      </c>
      <c r="AH53" s="581"/>
    </row>
    <row r="54" spans="2:34" x14ac:dyDescent="0.25">
      <c r="B54" s="2" t="s">
        <v>147</v>
      </c>
      <c r="C54" s="15">
        <v>3721</v>
      </c>
      <c r="D54" s="4">
        <v>3856.1907500000002</v>
      </c>
      <c r="E54" s="4">
        <v>760</v>
      </c>
      <c r="F54" s="4">
        <v>4362.5908300000001</v>
      </c>
      <c r="G54" s="4">
        <v>316</v>
      </c>
      <c r="H54" s="389">
        <v>6745.314242982301</v>
      </c>
      <c r="I54" s="389">
        <v>0</v>
      </c>
      <c r="J54" s="389">
        <f t="shared" si="10"/>
        <v>4415.5342118415901</v>
      </c>
      <c r="K54" s="389">
        <f t="shared" si="11"/>
        <v>0</v>
      </c>
      <c r="L54" s="389">
        <f>1957.226+1222.632-23.397</f>
        <v>3156.4610000000002</v>
      </c>
      <c r="M54" s="389">
        <f>330+211</f>
        <v>541</v>
      </c>
      <c r="N54" s="548">
        <f t="shared" si="12"/>
        <v>7571.9952118415904</v>
      </c>
      <c r="O54" s="548">
        <f t="shared" si="9"/>
        <v>541</v>
      </c>
      <c r="P54" s="504">
        <f t="shared" si="13"/>
        <v>8112.9952118415904</v>
      </c>
      <c r="Q54" s="9"/>
      <c r="R54" s="9"/>
      <c r="S54" s="421">
        <v>8460.6702601328834</v>
      </c>
      <c r="T54" s="444">
        <v>312.17999999999995</v>
      </c>
      <c r="U54" s="542">
        <v>8772.8502601328837</v>
      </c>
      <c r="V54" s="544"/>
      <c r="W54" s="582">
        <f t="shared" si="2"/>
        <v>-888.67504829129302</v>
      </c>
      <c r="X54" s="582">
        <f t="shared" si="3"/>
        <v>228.82000000000005</v>
      </c>
      <c r="Y54" s="582">
        <f t="shared" si="4"/>
        <v>-659.85504829129331</v>
      </c>
      <c r="Z54" s="581"/>
      <c r="AA54" s="587">
        <v>7609</v>
      </c>
      <c r="AB54" s="587">
        <v>558.55999999999995</v>
      </c>
      <c r="AC54" s="542">
        <f t="shared" si="0"/>
        <v>8167.5599999999995</v>
      </c>
      <c r="AD54" s="544"/>
      <c r="AE54" s="582">
        <f t="shared" si="5"/>
        <v>-37.00478815840961</v>
      </c>
      <c r="AF54" s="582">
        <f t="shared" si="6"/>
        <v>-17.559999999999945</v>
      </c>
      <c r="AG54" s="582">
        <f t="shared" si="7"/>
        <v>-54.564788158409101</v>
      </c>
      <c r="AH54" s="581"/>
    </row>
    <row r="55" spans="2:34" x14ac:dyDescent="0.25">
      <c r="B55" s="2" t="s">
        <v>17</v>
      </c>
      <c r="C55" s="15">
        <v>3722</v>
      </c>
      <c r="D55" s="4">
        <v>4165.0861599999998</v>
      </c>
      <c r="E55" s="4">
        <v>3849</v>
      </c>
      <c r="F55" s="4">
        <v>1565.8017299999999</v>
      </c>
      <c r="G55" s="4">
        <v>1573</v>
      </c>
      <c r="H55" s="389">
        <v>19475.361638145303</v>
      </c>
      <c r="I55" s="389">
        <v>0</v>
      </c>
      <c r="J55" s="389">
        <f t="shared" si="10"/>
        <v>12748.720445557381</v>
      </c>
      <c r="K55" s="389">
        <f t="shared" si="11"/>
        <v>0</v>
      </c>
      <c r="L55" s="389">
        <f>789.578+10343.784-397.746</f>
        <v>10735.616</v>
      </c>
      <c r="M55" s="389">
        <v>1372</v>
      </c>
      <c r="N55" s="548">
        <f t="shared" si="12"/>
        <v>23484.336445557383</v>
      </c>
      <c r="O55" s="548">
        <f t="shared" si="9"/>
        <v>1372</v>
      </c>
      <c r="P55" s="504">
        <f t="shared" si="13"/>
        <v>24856.336445557383</v>
      </c>
      <c r="Q55" s="9"/>
      <c r="R55" s="9"/>
      <c r="S55" s="421">
        <v>25934.180211271101</v>
      </c>
      <c r="T55" s="444">
        <v>945.77999999999986</v>
      </c>
      <c r="U55" s="542">
        <v>26879.9602112711</v>
      </c>
      <c r="V55" s="544"/>
      <c r="W55" s="582">
        <f t="shared" si="2"/>
        <v>-2449.8437657137183</v>
      </c>
      <c r="X55" s="582">
        <f t="shared" si="3"/>
        <v>426.22000000000014</v>
      </c>
      <c r="Y55" s="582">
        <f t="shared" si="4"/>
        <v>-2023.6237657137171</v>
      </c>
      <c r="Z55" s="581"/>
      <c r="AA55" s="587">
        <v>21910</v>
      </c>
      <c r="AB55" s="587">
        <v>1192.6600000000001</v>
      </c>
      <c r="AC55" s="542">
        <f t="shared" si="0"/>
        <v>23102.66</v>
      </c>
      <c r="AD55" s="544"/>
      <c r="AE55" s="582">
        <f t="shared" si="5"/>
        <v>1574.3364455573828</v>
      </c>
      <c r="AF55" s="582">
        <f t="shared" si="6"/>
        <v>179.33999999999992</v>
      </c>
      <c r="AG55" s="582">
        <f t="shared" si="7"/>
        <v>1753.676445557383</v>
      </c>
      <c r="AH55" s="581"/>
    </row>
    <row r="56" spans="2:34" x14ac:dyDescent="0.25">
      <c r="B56" s="2" t="s">
        <v>18</v>
      </c>
      <c r="C56" s="15">
        <v>3723</v>
      </c>
      <c r="D56" s="4">
        <v>6440.82593</v>
      </c>
      <c r="E56" s="4">
        <v>2681</v>
      </c>
      <c r="F56" s="4">
        <v>162.47499999999999</v>
      </c>
      <c r="G56" s="4">
        <v>752</v>
      </c>
      <c r="H56" s="389">
        <v>10122.152570122484</v>
      </c>
      <c r="I56" s="389">
        <v>0</v>
      </c>
      <c r="J56" s="389">
        <f t="shared" si="10"/>
        <v>6626.0383669086514</v>
      </c>
      <c r="K56" s="389">
        <f t="shared" si="11"/>
        <v>0</v>
      </c>
      <c r="L56" s="389">
        <v>1205.489</v>
      </c>
      <c r="M56" s="389">
        <v>440.81599999999997</v>
      </c>
      <c r="N56" s="548">
        <f t="shared" si="12"/>
        <v>7831.5273669086509</v>
      </c>
      <c r="O56" s="548">
        <f t="shared" si="9"/>
        <v>440.81599999999997</v>
      </c>
      <c r="P56" s="504">
        <f t="shared" si="13"/>
        <v>8272.3433669086517</v>
      </c>
      <c r="Q56" s="9"/>
      <c r="R56" s="9"/>
      <c r="S56" s="421">
        <v>8673.0763716730744</v>
      </c>
      <c r="T56" s="444">
        <v>0</v>
      </c>
      <c r="U56" s="542">
        <v>8673.0763716730744</v>
      </c>
      <c r="V56" s="544"/>
      <c r="W56" s="582">
        <f t="shared" si="2"/>
        <v>-841.54900476442344</v>
      </c>
      <c r="X56" s="582">
        <f t="shared" si="3"/>
        <v>440.81599999999997</v>
      </c>
      <c r="Y56" s="582">
        <f t="shared" si="4"/>
        <v>-400.73300476442273</v>
      </c>
      <c r="Z56" s="581"/>
      <c r="AA56" s="587">
        <v>8585</v>
      </c>
      <c r="AB56" s="587">
        <v>205.57</v>
      </c>
      <c r="AC56" s="542">
        <f t="shared" si="0"/>
        <v>8790.57</v>
      </c>
      <c r="AD56" s="544"/>
      <c r="AE56" s="582">
        <f t="shared" si="5"/>
        <v>-753.47263309134905</v>
      </c>
      <c r="AF56" s="582">
        <f t="shared" si="6"/>
        <v>235.24599999999998</v>
      </c>
      <c r="AG56" s="582">
        <f t="shared" si="7"/>
        <v>-518.22663309134805</v>
      </c>
      <c r="AH56" s="581"/>
    </row>
    <row r="57" spans="2:34" x14ac:dyDescent="0.25">
      <c r="B57" s="2" t="s">
        <v>19</v>
      </c>
      <c r="C57" s="15">
        <v>3724</v>
      </c>
      <c r="D57" s="4">
        <v>9250.4002</v>
      </c>
      <c r="E57" s="4">
        <v>8365</v>
      </c>
      <c r="F57" s="4">
        <v>9.77</v>
      </c>
      <c r="G57" s="4">
        <v>556</v>
      </c>
      <c r="H57" s="389">
        <v>7282.0920614117622</v>
      </c>
      <c r="I57" s="389">
        <v>0</v>
      </c>
      <c r="J57" s="389">
        <f t="shared" si="10"/>
        <v>4766.9130707137101</v>
      </c>
      <c r="K57" s="389">
        <f t="shared" si="11"/>
        <v>0</v>
      </c>
      <c r="L57" s="389"/>
      <c r="M57" s="389">
        <v>637</v>
      </c>
      <c r="N57" s="548">
        <f t="shared" si="12"/>
        <v>4766.9130707137101</v>
      </c>
      <c r="O57" s="548">
        <f t="shared" si="9"/>
        <v>637</v>
      </c>
      <c r="P57" s="504">
        <f t="shared" si="13"/>
        <v>5403.9130707137101</v>
      </c>
      <c r="Q57" s="9"/>
      <c r="R57" s="9"/>
      <c r="S57" s="421">
        <v>8962.5385711808194</v>
      </c>
      <c r="T57" s="444">
        <v>729.3</v>
      </c>
      <c r="U57" s="542">
        <v>9691.8385711808187</v>
      </c>
      <c r="V57" s="544"/>
      <c r="W57" s="582">
        <f t="shared" si="2"/>
        <v>-4195.6255004671093</v>
      </c>
      <c r="X57" s="582">
        <f t="shared" si="3"/>
        <v>-92.299999999999955</v>
      </c>
      <c r="Y57" s="582">
        <f t="shared" si="4"/>
        <v>-4287.9255004671086</v>
      </c>
      <c r="Z57" s="581"/>
      <c r="AA57" s="587">
        <v>9707</v>
      </c>
      <c r="AB57" s="587">
        <v>497.65</v>
      </c>
      <c r="AC57" s="542">
        <f t="shared" si="0"/>
        <v>10204.65</v>
      </c>
      <c r="AD57" s="544"/>
      <c r="AE57" s="582">
        <f t="shared" si="5"/>
        <v>-4940.0869292862899</v>
      </c>
      <c r="AF57" s="582">
        <f t="shared" si="6"/>
        <v>139.35000000000002</v>
      </c>
      <c r="AG57" s="582">
        <f t="shared" si="7"/>
        <v>-4800.7369292862895</v>
      </c>
      <c r="AH57" s="581"/>
    </row>
    <row r="58" spans="2:34" x14ac:dyDescent="0.25">
      <c r="B58" s="2" t="s">
        <v>145</v>
      </c>
      <c r="C58" s="15">
        <v>3725</v>
      </c>
      <c r="D58" s="4">
        <v>7484.4045900000001</v>
      </c>
      <c r="E58" s="4">
        <v>448</v>
      </c>
      <c r="F58" s="4">
        <v>103.24646</v>
      </c>
      <c r="G58" s="4">
        <v>220</v>
      </c>
      <c r="H58" s="389">
        <v>12021.814173500266</v>
      </c>
      <c r="I58" s="389">
        <v>0</v>
      </c>
      <c r="J58" s="389">
        <f t="shared" si="10"/>
        <v>7869.5713586240763</v>
      </c>
      <c r="K58" s="389">
        <f t="shared" si="11"/>
        <v>0</v>
      </c>
      <c r="L58" s="389">
        <f>-933.2+21.915-93.587</f>
        <v>-1004.8720000000001</v>
      </c>
      <c r="M58" s="389">
        <v>211</v>
      </c>
      <c r="N58" s="548">
        <f t="shared" si="12"/>
        <v>6864.699358624076</v>
      </c>
      <c r="O58" s="548">
        <f t="shared" si="9"/>
        <v>211</v>
      </c>
      <c r="P58" s="504">
        <f t="shared" si="13"/>
        <v>7075.699358624076</v>
      </c>
      <c r="Q58" s="9"/>
      <c r="R58" s="9"/>
      <c r="S58" s="421">
        <v>7820.0018499044518</v>
      </c>
      <c r="T58" s="444">
        <v>356.4</v>
      </c>
      <c r="U58" s="542">
        <v>8176.4018499044514</v>
      </c>
      <c r="V58" s="544"/>
      <c r="W58" s="582">
        <f t="shared" si="2"/>
        <v>-955.30249128037576</v>
      </c>
      <c r="X58" s="582">
        <f t="shared" si="3"/>
        <v>-145.39999999999998</v>
      </c>
      <c r="Y58" s="582">
        <f t="shared" si="4"/>
        <v>-1100.7024912803754</v>
      </c>
      <c r="Z58" s="581"/>
      <c r="AA58" s="587">
        <v>6929</v>
      </c>
      <c r="AB58" s="587">
        <v>58.56</v>
      </c>
      <c r="AC58" s="542">
        <f t="shared" si="0"/>
        <v>6987.56</v>
      </c>
      <c r="AD58" s="544"/>
      <c r="AE58" s="582">
        <f t="shared" si="5"/>
        <v>-64.300641375923988</v>
      </c>
      <c r="AF58" s="582">
        <f t="shared" si="6"/>
        <v>152.44</v>
      </c>
      <c r="AG58" s="582">
        <f t="shared" si="7"/>
        <v>88.139358624075612</v>
      </c>
      <c r="AH58" s="581"/>
    </row>
    <row r="59" spans="2:34" x14ac:dyDescent="0.25">
      <c r="B59" s="2" t="s">
        <v>21</v>
      </c>
      <c r="C59" s="465">
        <v>3726</v>
      </c>
      <c r="D59" s="4">
        <v>548.45377999999903</v>
      </c>
      <c r="E59" s="4">
        <v>6977</v>
      </c>
      <c r="F59" s="4">
        <v>714.56005000000005</v>
      </c>
      <c r="G59" s="4">
        <v>585</v>
      </c>
      <c r="H59" s="389">
        <v>5340.0112477389084</v>
      </c>
      <c r="I59" s="389">
        <v>0</v>
      </c>
      <c r="J59" s="389">
        <f t="shared" si="10"/>
        <v>3495.6121400187103</v>
      </c>
      <c r="K59" s="389">
        <f t="shared" si="11"/>
        <v>0</v>
      </c>
      <c r="L59" s="389"/>
      <c r="M59" s="389">
        <v>654</v>
      </c>
      <c r="N59" s="548">
        <f t="shared" si="12"/>
        <v>3495.6121400187103</v>
      </c>
      <c r="O59" s="548">
        <f t="shared" si="9"/>
        <v>654</v>
      </c>
      <c r="P59" s="504">
        <f t="shared" si="13"/>
        <v>4149.6121400187103</v>
      </c>
      <c r="Q59" s="9"/>
      <c r="R59" s="9"/>
      <c r="S59" s="421">
        <v>6473.8205937937364</v>
      </c>
      <c r="T59" s="444">
        <v>966.89999999999986</v>
      </c>
      <c r="U59" s="542">
        <v>7440.720593793736</v>
      </c>
      <c r="V59" s="544"/>
      <c r="W59" s="582">
        <f t="shared" si="2"/>
        <v>-2978.2084537750261</v>
      </c>
      <c r="X59" s="582">
        <f t="shared" si="3"/>
        <v>-312.89999999999986</v>
      </c>
      <c r="Y59" s="582">
        <f t="shared" si="4"/>
        <v>-3291.1084537750257</v>
      </c>
      <c r="Z59" s="581"/>
      <c r="AA59" s="587">
        <v>6257</v>
      </c>
      <c r="AB59" s="587">
        <v>990.03</v>
      </c>
      <c r="AC59" s="542">
        <f t="shared" si="0"/>
        <v>7247.03</v>
      </c>
      <c r="AD59" s="544"/>
      <c r="AE59" s="582">
        <f t="shared" si="5"/>
        <v>-2761.3878599812897</v>
      </c>
      <c r="AF59" s="582">
        <f t="shared" si="6"/>
        <v>-336.03</v>
      </c>
      <c r="AG59" s="582">
        <f t="shared" si="7"/>
        <v>-3097.4178599812894</v>
      </c>
      <c r="AH59" s="581"/>
    </row>
    <row r="60" spans="2:34" s="61" customFormat="1" x14ac:dyDescent="0.25">
      <c r="B60" s="460" t="s">
        <v>146</v>
      </c>
      <c r="C60" s="461">
        <v>3727</v>
      </c>
      <c r="D60" s="462">
        <v>11347.478150000001</v>
      </c>
      <c r="E60" s="552">
        <v>304</v>
      </c>
      <c r="F60" s="552">
        <v>1828.36887</v>
      </c>
      <c r="G60" s="462">
        <v>60</v>
      </c>
      <c r="H60" s="478">
        <v>4751.3368990940235</v>
      </c>
      <c r="I60" s="478">
        <v>0</v>
      </c>
      <c r="J60" s="389">
        <f t="shared" si="10"/>
        <v>3110.2614161766996</v>
      </c>
      <c r="K60" s="389">
        <f t="shared" si="11"/>
        <v>0</v>
      </c>
      <c r="L60" s="478">
        <f>52.268+933.2+8523.998-23.397</f>
        <v>9486.0689999999995</v>
      </c>
      <c r="M60" s="478">
        <v>106</v>
      </c>
      <c r="N60" s="548">
        <f t="shared" si="12"/>
        <v>12596.330416176699</v>
      </c>
      <c r="O60" s="548">
        <f t="shared" si="9"/>
        <v>106</v>
      </c>
      <c r="P60" s="504">
        <f t="shared" si="13"/>
        <v>12702.330416176699</v>
      </c>
      <c r="Q60" s="9"/>
      <c r="R60" s="9"/>
      <c r="S60" s="541">
        <v>13345.244843132723</v>
      </c>
      <c r="T60" s="578">
        <v>189.42</v>
      </c>
      <c r="U60" s="542">
        <v>13534.664843132723</v>
      </c>
      <c r="V60" s="544"/>
      <c r="W60" s="582">
        <f t="shared" si="2"/>
        <v>-748.91442695602382</v>
      </c>
      <c r="X60" s="582">
        <f t="shared" si="3"/>
        <v>-83.419999999999987</v>
      </c>
      <c r="Y60" s="582">
        <f t="shared" si="4"/>
        <v>-832.33442695602389</v>
      </c>
      <c r="Z60" s="581"/>
      <c r="AA60" s="542">
        <v>11547</v>
      </c>
      <c r="AB60" s="543">
        <v>58.56</v>
      </c>
      <c r="AC60" s="542">
        <f t="shared" si="0"/>
        <v>11605.56</v>
      </c>
      <c r="AD60" s="544"/>
      <c r="AE60" s="582">
        <f t="shared" si="5"/>
        <v>1049.3304161766991</v>
      </c>
      <c r="AF60" s="582">
        <f t="shared" si="6"/>
        <v>47.44</v>
      </c>
      <c r="AG60" s="582">
        <f t="shared" si="7"/>
        <v>1096.7704161766997</v>
      </c>
      <c r="AH60" s="581"/>
    </row>
    <row r="61" spans="2:34" s="61" customFormat="1" ht="15.75" thickBot="1" x14ac:dyDescent="0.3">
      <c r="B61" s="460" t="s">
        <v>162</v>
      </c>
      <c r="C61" s="461">
        <v>3728</v>
      </c>
      <c r="D61" s="462">
        <v>615.78898000000004</v>
      </c>
      <c r="E61" s="552">
        <v>38</v>
      </c>
      <c r="F61" s="552">
        <v>-1.4079999999999999</v>
      </c>
      <c r="G61" s="614">
        <v>-1</v>
      </c>
      <c r="H61" s="615">
        <v>2472.3550515050597</v>
      </c>
      <c r="I61" s="615">
        <v>0</v>
      </c>
      <c r="J61" s="612">
        <f t="shared" si="10"/>
        <v>1618.4224960456913</v>
      </c>
      <c r="K61" s="612">
        <f t="shared" si="11"/>
        <v>0</v>
      </c>
      <c r="L61" s="615">
        <v>563.11900000000003</v>
      </c>
      <c r="M61" s="615">
        <v>106</v>
      </c>
      <c r="N61" s="613">
        <f t="shared" si="12"/>
        <v>2181.5414960456915</v>
      </c>
      <c r="O61" s="613">
        <f t="shared" si="9"/>
        <v>106</v>
      </c>
      <c r="P61" s="503">
        <f t="shared" si="13"/>
        <v>2287.5414960456915</v>
      </c>
      <c r="Q61" s="9"/>
      <c r="R61" s="9"/>
      <c r="S61" s="542">
        <v>1516.7140569890046</v>
      </c>
      <c r="T61" s="579">
        <v>63.359999999999992</v>
      </c>
      <c r="U61" s="542">
        <v>1580.0740569890045</v>
      </c>
      <c r="V61" s="544"/>
      <c r="W61" s="582">
        <f t="shared" si="2"/>
        <v>664.8274390566869</v>
      </c>
      <c r="X61" s="582">
        <f t="shared" si="3"/>
        <v>42.640000000000008</v>
      </c>
      <c r="Y61" s="582">
        <f t="shared" si="4"/>
        <v>707.467439056687</v>
      </c>
      <c r="Z61" s="581"/>
      <c r="AA61" s="542">
        <v>0</v>
      </c>
      <c r="AB61" s="543">
        <v>0</v>
      </c>
      <c r="AC61" s="542">
        <f t="shared" si="0"/>
        <v>0</v>
      </c>
      <c r="AD61" s="544"/>
      <c r="AE61" s="582">
        <f t="shared" si="5"/>
        <v>2181.5414960456915</v>
      </c>
      <c r="AF61" s="582">
        <f t="shared" si="6"/>
        <v>106</v>
      </c>
      <c r="AG61" s="582">
        <f t="shared" si="7"/>
        <v>2287.5414960456915</v>
      </c>
      <c r="AH61" s="581"/>
    </row>
    <row r="62" spans="2:34" ht="15.75" thickBot="1" x14ac:dyDescent="0.3">
      <c r="B62" s="481" t="s">
        <v>63</v>
      </c>
      <c r="C62" s="482"/>
      <c r="D62" s="483">
        <f>SUM(D20:D61)</f>
        <v>143663.43546000004</v>
      </c>
      <c r="E62" s="483">
        <f t="shared" ref="E62:F62" si="14">SUM(E20:E61)</f>
        <v>31918</v>
      </c>
      <c r="F62" s="483">
        <f t="shared" si="14"/>
        <v>18790.90481</v>
      </c>
      <c r="G62" s="483">
        <f>SUM(G20:G61)</f>
        <v>18342</v>
      </c>
      <c r="H62" s="549"/>
      <c r="I62" s="549"/>
      <c r="J62" s="549"/>
      <c r="K62" s="549"/>
      <c r="L62" s="549"/>
      <c r="M62" s="549"/>
      <c r="N62" s="549"/>
      <c r="O62" s="484"/>
      <c r="P62" s="499"/>
      <c r="Q62" s="399"/>
      <c r="R62" s="399"/>
      <c r="U62" s="411"/>
      <c r="Z62" s="61"/>
      <c r="AC62" s="411"/>
      <c r="AH62" s="30"/>
    </row>
    <row r="63" spans="2:34" x14ac:dyDescent="0.25">
      <c r="B63" s="6"/>
      <c r="D63" s="398"/>
      <c r="E63" s="398"/>
      <c r="F63" s="398"/>
      <c r="G63" s="398"/>
      <c r="H63" s="488"/>
      <c r="I63" s="488"/>
      <c r="J63" s="488"/>
      <c r="K63" s="488"/>
      <c r="L63" s="488"/>
      <c r="M63" s="488"/>
      <c r="N63" s="9"/>
      <c r="O63" s="29"/>
      <c r="P63" s="459"/>
      <c r="Q63" s="9"/>
      <c r="R63" s="9"/>
      <c r="Z63" s="61"/>
      <c r="AH63" s="30"/>
    </row>
    <row r="64" spans="2:34" x14ac:dyDescent="0.25">
      <c r="B64" s="61"/>
    </row>
    <row r="65" spans="2:34" hidden="1" x14ac:dyDescent="0.25">
      <c r="N65" s="8"/>
      <c r="O65" s="8"/>
      <c r="P65" s="1"/>
      <c r="Z65" s="61"/>
      <c r="AH65" s="30"/>
    </row>
    <row r="66" spans="2:34" hidden="1" x14ac:dyDescent="0.25">
      <c r="B66" s="364" t="s">
        <v>126</v>
      </c>
      <c r="C66" s="364"/>
      <c r="D66" s="364"/>
      <c r="E66" s="364"/>
      <c r="F66" s="364"/>
      <c r="G66" s="364"/>
      <c r="H66" s="479"/>
      <c r="I66" s="479"/>
      <c r="J66" s="479"/>
      <c r="K66" s="479"/>
      <c r="L66" s="479"/>
      <c r="M66" s="479"/>
      <c r="N66" s="366"/>
      <c r="O66" s="366"/>
      <c r="P66" s="363"/>
      <c r="Z66" s="61"/>
      <c r="AH66" s="30"/>
    </row>
    <row r="67" spans="2:34" hidden="1" x14ac:dyDescent="0.25"/>
    <row r="68" spans="2:34" ht="15.75" thickBot="1" x14ac:dyDescent="0.3">
      <c r="B68" s="61"/>
      <c r="H68" s="480"/>
      <c r="I68" s="480"/>
      <c r="J68" s="480"/>
      <c r="K68" s="480"/>
      <c r="L68" s="480"/>
      <c r="M68" s="480"/>
      <c r="N68" s="8"/>
    </row>
    <row r="69" spans="2:34" x14ac:dyDescent="0.25">
      <c r="B69" s="513"/>
      <c r="C69" s="514"/>
      <c r="D69" s="515"/>
      <c r="E69" s="490"/>
      <c r="F69" s="490"/>
      <c r="G69" s="490"/>
    </row>
    <row r="70" spans="2:34" x14ac:dyDescent="0.25">
      <c r="B70" s="538"/>
      <c r="C70" s="509"/>
      <c r="D70" s="539"/>
      <c r="E70" s="490"/>
      <c r="F70" s="490"/>
      <c r="G70" s="490"/>
    </row>
    <row r="71" spans="2:34" ht="15.75" thickBot="1" x14ac:dyDescent="0.3">
      <c r="B71" s="540"/>
      <c r="C71" s="517"/>
      <c r="D71" s="518"/>
      <c r="E71" s="490"/>
      <c r="F71" s="490"/>
      <c r="G71" s="490"/>
    </row>
    <row r="73" spans="2:34" x14ac:dyDescent="0.25">
      <c r="N73" s="8"/>
    </row>
    <row r="74" spans="2:34" x14ac:dyDescent="0.25">
      <c r="N74" s="8"/>
    </row>
  </sheetData>
  <mergeCells count="18">
    <mergeCell ref="S4:V4"/>
    <mergeCell ref="L4:M4"/>
    <mergeCell ref="AG5:AH5"/>
    <mergeCell ref="U5:V5"/>
    <mergeCell ref="Y5:Z5"/>
    <mergeCell ref="AC5:AD5"/>
    <mergeCell ref="AA4:AD4"/>
    <mergeCell ref="B19:C19"/>
    <mergeCell ref="B7:C7"/>
    <mergeCell ref="B10:C10"/>
    <mergeCell ref="B11:C12"/>
    <mergeCell ref="N4:O4"/>
    <mergeCell ref="J4:K4"/>
    <mergeCell ref="H4:I4"/>
    <mergeCell ref="B9:C9"/>
    <mergeCell ref="B4:C5"/>
    <mergeCell ref="D4:F4"/>
    <mergeCell ref="B14:C14"/>
  </mergeCells>
  <pageMargins left="0.7" right="0.7" top="0.78740157499999996" bottom="0.78740157499999996" header="0.3" footer="0.3"/>
  <pageSetup paperSize="9" scale="47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66"/>
  <sheetViews>
    <sheetView workbookViewId="0">
      <selection activeCell="AH23" sqref="AH23"/>
    </sheetView>
  </sheetViews>
  <sheetFormatPr defaultColWidth="9.140625" defaultRowHeight="15" x14ac:dyDescent="0.25"/>
  <cols>
    <col min="1" max="1" width="35.140625" style="64" customWidth="1"/>
    <col min="2" max="2" width="27.7109375" style="64" customWidth="1"/>
    <col min="3" max="3" width="8.140625" style="64" customWidth="1"/>
    <col min="4" max="4" width="15.7109375" style="64" customWidth="1"/>
    <col min="5" max="5" width="12.7109375" style="64" hidden="1" customWidth="1"/>
    <col min="6" max="6" width="20.140625" style="64" customWidth="1"/>
    <col min="7" max="7" width="11.5703125" style="64" customWidth="1"/>
    <col min="8" max="8" width="11.42578125" style="67" customWidth="1"/>
    <col min="9" max="9" width="13.140625" style="67" customWidth="1"/>
    <col min="10" max="10" width="15.7109375" style="67" customWidth="1"/>
    <col min="11" max="11" width="2.42578125" style="67" hidden="1" customWidth="1"/>
    <col min="12" max="12" width="12.85546875" style="66" customWidth="1"/>
    <col min="13" max="13" width="13.28515625" style="64" hidden="1" customWidth="1"/>
    <col min="14" max="14" width="15.28515625" style="67" customWidth="1"/>
    <col min="15" max="16" width="19" style="64" hidden="1" customWidth="1"/>
    <col min="17" max="17" width="13.85546875" style="64" hidden="1" customWidth="1"/>
    <col min="18" max="18" width="11.42578125" style="67" hidden="1" customWidth="1"/>
    <col min="19" max="19" width="17" style="64" hidden="1" customWidth="1"/>
    <col min="20" max="20" width="12.42578125" style="64" hidden="1" customWidth="1"/>
    <col min="21" max="21" width="15.140625" style="64" hidden="1" customWidth="1"/>
    <col min="22" max="22" width="15.85546875" style="64" hidden="1" customWidth="1"/>
    <col min="23" max="23" width="16.28515625" style="64" hidden="1" customWidth="1"/>
    <col min="24" max="24" width="12" style="64" hidden="1" customWidth="1"/>
    <col min="25" max="25" width="13.85546875" style="64" hidden="1" customWidth="1"/>
    <col min="26" max="27" width="0" style="64" hidden="1" customWidth="1"/>
    <col min="28" max="28" width="9.140625" style="64"/>
    <col min="29" max="29" width="12.7109375" style="64" customWidth="1"/>
    <col min="30" max="30" width="10.7109375" style="64" customWidth="1"/>
    <col min="31" max="31" width="9.140625" style="64"/>
    <col min="32" max="32" width="16.7109375" style="64" customWidth="1"/>
    <col min="33" max="33" width="11" style="64" customWidth="1"/>
    <col min="34" max="34" width="9.140625" style="64"/>
    <col min="35" max="35" width="13.5703125" style="64" customWidth="1"/>
    <col min="36" max="36" width="10.5703125" style="64" customWidth="1"/>
    <col min="37" max="37" width="9.140625" style="64"/>
    <col min="38" max="38" width="13" style="64" customWidth="1"/>
    <col min="39" max="39" width="10" style="64" customWidth="1"/>
    <col min="40" max="16384" width="9.140625" style="64"/>
  </cols>
  <sheetData>
    <row r="1" spans="1:39" ht="18.75" x14ac:dyDescent="0.3">
      <c r="B1" s="65" t="s">
        <v>71</v>
      </c>
      <c r="C1" s="66"/>
      <c r="G1" s="66"/>
      <c r="Q1" s="66"/>
    </row>
    <row r="2" spans="1:39" ht="18.75" x14ac:dyDescent="0.3">
      <c r="B2" s="65" t="s">
        <v>95</v>
      </c>
      <c r="C2" s="66"/>
      <c r="G2" s="66"/>
      <c r="Q2" s="66"/>
    </row>
    <row r="3" spans="1:39" ht="15.75" thickBot="1" x14ac:dyDescent="0.3"/>
    <row r="4" spans="1:39" ht="15.75" thickBot="1" x14ac:dyDescent="0.3">
      <c r="B4" s="648" t="s">
        <v>62</v>
      </c>
      <c r="C4" s="650" t="s">
        <v>64</v>
      </c>
      <c r="D4" s="68" t="s">
        <v>45</v>
      </c>
      <c r="E4" s="69" t="s">
        <v>45</v>
      </c>
      <c r="F4" s="69" t="s">
        <v>96</v>
      </c>
      <c r="G4" s="652" t="s">
        <v>57</v>
      </c>
      <c r="H4" s="653"/>
      <c r="I4" s="654" t="s">
        <v>92</v>
      </c>
      <c r="J4" s="655"/>
      <c r="K4" s="70" t="s">
        <v>52</v>
      </c>
      <c r="L4" s="71" t="s">
        <v>63</v>
      </c>
      <c r="M4" s="72" t="s">
        <v>48</v>
      </c>
      <c r="N4" s="73" t="s">
        <v>63</v>
      </c>
      <c r="O4" s="74" t="s">
        <v>47</v>
      </c>
      <c r="P4" s="74" t="s">
        <v>80</v>
      </c>
      <c r="Q4" s="656" t="s">
        <v>56</v>
      </c>
      <c r="R4" s="657"/>
      <c r="S4" s="75" t="s">
        <v>58</v>
      </c>
      <c r="T4" s="76" t="s">
        <v>59</v>
      </c>
      <c r="U4" s="77" t="s">
        <v>61</v>
      </c>
      <c r="V4" s="78" t="s">
        <v>65</v>
      </c>
      <c r="W4" s="79" t="s">
        <v>67</v>
      </c>
    </row>
    <row r="5" spans="1:39" ht="13.5" thickBot="1" x14ac:dyDescent="0.25">
      <c r="B5" s="649"/>
      <c r="C5" s="651"/>
      <c r="D5" s="80" t="s">
        <v>28</v>
      </c>
      <c r="E5" s="81" t="s">
        <v>27</v>
      </c>
      <c r="F5" s="82" t="s">
        <v>90</v>
      </c>
      <c r="G5" s="83" t="s">
        <v>84</v>
      </c>
      <c r="H5" s="78" t="s">
        <v>85</v>
      </c>
      <c r="I5" s="84" t="s">
        <v>84</v>
      </c>
      <c r="J5" s="85" t="s">
        <v>93</v>
      </c>
      <c r="K5" s="86"/>
      <c r="L5" s="658"/>
      <c r="M5" s="87"/>
      <c r="N5" s="88" t="s">
        <v>81</v>
      </c>
      <c r="O5" s="89"/>
      <c r="P5" s="89" t="s">
        <v>66</v>
      </c>
      <c r="Q5" s="90" t="s">
        <v>22</v>
      </c>
      <c r="R5" s="91" t="s">
        <v>46</v>
      </c>
      <c r="S5" s="92"/>
      <c r="T5" s="93"/>
      <c r="U5" s="93"/>
      <c r="V5" s="94" t="s">
        <v>66</v>
      </c>
      <c r="W5" s="94" t="s">
        <v>66</v>
      </c>
    </row>
    <row r="6" spans="1:39" ht="12.75" x14ac:dyDescent="0.2">
      <c r="B6" s="661">
        <v>-0.39</v>
      </c>
      <c r="C6" s="663"/>
      <c r="D6" s="665" t="s">
        <v>91</v>
      </c>
      <c r="E6" s="667"/>
      <c r="F6" s="681" t="s">
        <v>83</v>
      </c>
      <c r="G6" s="683"/>
      <c r="H6" s="685"/>
      <c r="I6" s="671"/>
      <c r="J6" s="687" t="s">
        <v>94</v>
      </c>
      <c r="K6" s="95"/>
      <c r="L6" s="659"/>
      <c r="M6" s="95" t="s">
        <v>50</v>
      </c>
      <c r="N6" s="688"/>
      <c r="O6" s="96"/>
      <c r="P6" s="96"/>
      <c r="Q6" s="97" t="s">
        <v>49</v>
      </c>
      <c r="R6" s="95" t="s">
        <v>50</v>
      </c>
      <c r="S6" s="92"/>
      <c r="T6" s="93"/>
      <c r="U6" s="93"/>
      <c r="V6" s="671"/>
      <c r="W6" s="671"/>
    </row>
    <row r="7" spans="1:39" ht="36.75" thickBot="1" x14ac:dyDescent="0.25">
      <c r="B7" s="662"/>
      <c r="C7" s="664"/>
      <c r="D7" s="666"/>
      <c r="E7" s="668"/>
      <c r="F7" s="682"/>
      <c r="G7" s="684"/>
      <c r="H7" s="686"/>
      <c r="I7" s="672"/>
      <c r="J7" s="660"/>
      <c r="K7" s="98">
        <v>-0.25</v>
      </c>
      <c r="L7" s="660"/>
      <c r="M7" s="99" t="s">
        <v>69</v>
      </c>
      <c r="N7" s="689"/>
      <c r="O7" s="100"/>
      <c r="P7" s="100"/>
      <c r="Q7" s="101"/>
      <c r="R7" s="102"/>
      <c r="S7" s="103"/>
      <c r="T7" s="104"/>
      <c r="U7" s="105"/>
      <c r="V7" s="672"/>
      <c r="W7" s="672"/>
    </row>
    <row r="8" spans="1:39" ht="15.75" thickBot="1" x14ac:dyDescent="0.3">
      <c r="B8" s="673" t="s">
        <v>88</v>
      </c>
      <c r="C8" s="674"/>
      <c r="D8" s="106"/>
      <c r="E8" s="69"/>
      <c r="F8" s="74"/>
      <c r="G8" s="107">
        <v>214599</v>
      </c>
      <c r="H8" s="108">
        <v>243063</v>
      </c>
      <c r="I8" s="109">
        <v>214599</v>
      </c>
      <c r="J8" s="110">
        <v>243063</v>
      </c>
      <c r="K8" s="111"/>
      <c r="L8" s="112">
        <v>457662</v>
      </c>
      <c r="M8" s="72"/>
      <c r="N8" s="689"/>
      <c r="O8" s="113"/>
      <c r="P8" s="113"/>
      <c r="Q8" s="114"/>
      <c r="R8" s="115"/>
      <c r="S8" s="103"/>
      <c r="T8" s="104"/>
      <c r="U8" s="105"/>
      <c r="V8" s="105"/>
      <c r="W8" s="113"/>
    </row>
    <row r="9" spans="1:39" ht="15.75" thickBot="1" x14ac:dyDescent="0.3">
      <c r="B9" s="116" t="s">
        <v>87</v>
      </c>
      <c r="C9" s="117"/>
      <c r="D9" s="118" t="s">
        <v>51</v>
      </c>
      <c r="E9" s="119"/>
      <c r="F9" s="120"/>
      <c r="G9" s="121" t="s">
        <v>51</v>
      </c>
      <c r="H9" s="122" t="s">
        <v>51</v>
      </c>
      <c r="I9" s="121" t="s">
        <v>51</v>
      </c>
      <c r="J9" s="123">
        <v>-0.34399999999999997</v>
      </c>
      <c r="K9" s="124"/>
      <c r="L9" s="125">
        <v>83604</v>
      </c>
      <c r="M9" s="126"/>
      <c r="N9" s="689"/>
      <c r="O9" s="127">
        <v>72753</v>
      </c>
      <c r="P9" s="128">
        <v>10851</v>
      </c>
      <c r="Q9" s="129" t="s">
        <v>51</v>
      </c>
      <c r="R9" s="130" t="s">
        <v>51</v>
      </c>
      <c r="S9" s="131"/>
      <c r="T9" s="76"/>
      <c r="U9" s="132">
        <v>74454</v>
      </c>
      <c r="V9" s="133">
        <v>9150</v>
      </c>
      <c r="W9" s="134">
        <v>0.1257680095666158</v>
      </c>
    </row>
    <row r="10" spans="1:39" ht="15.75" thickBot="1" x14ac:dyDescent="0.3">
      <c r="B10" s="654"/>
      <c r="C10" s="655"/>
      <c r="D10" s="135"/>
      <c r="E10" s="136"/>
      <c r="F10" s="137"/>
      <c r="G10" s="135"/>
      <c r="H10" s="138"/>
      <c r="I10" s="139"/>
      <c r="J10" s="140">
        <v>159459</v>
      </c>
      <c r="K10" s="141"/>
      <c r="L10" s="142"/>
      <c r="M10" s="143"/>
      <c r="N10" s="689"/>
      <c r="O10" s="144"/>
      <c r="P10" s="145"/>
      <c r="Q10" s="135"/>
      <c r="R10" s="146"/>
      <c r="S10" s="145"/>
      <c r="T10" s="93"/>
      <c r="U10" s="147"/>
      <c r="V10" s="141"/>
      <c r="W10" s="148"/>
    </row>
    <row r="11" spans="1:39" ht="48.75" thickBot="1" x14ac:dyDescent="0.3">
      <c r="B11" s="675" t="s">
        <v>86</v>
      </c>
      <c r="C11" s="676"/>
      <c r="D11" s="149" t="s">
        <v>89</v>
      </c>
      <c r="E11" s="150"/>
      <c r="F11" s="151"/>
      <c r="G11" s="152"/>
      <c r="H11" s="150"/>
      <c r="I11" s="153">
        <v>-0.26</v>
      </c>
      <c r="J11" s="154">
        <v>-4.5999999999999999E-2</v>
      </c>
      <c r="K11" s="133"/>
      <c r="L11" s="155"/>
      <c r="M11" s="141"/>
      <c r="N11" s="689"/>
      <c r="O11" s="156">
        <v>61671</v>
      </c>
      <c r="P11" s="128">
        <v>-61671</v>
      </c>
      <c r="Q11" s="157"/>
      <c r="R11" s="158"/>
      <c r="S11" s="128"/>
      <c r="T11" s="159"/>
      <c r="U11" s="160"/>
      <c r="V11" s="161">
        <v>2162.3100000000122</v>
      </c>
      <c r="W11" s="162">
        <v>3.5062022668677535E-2</v>
      </c>
      <c r="X11" s="163"/>
    </row>
    <row r="12" spans="1:39" ht="15.75" thickBot="1" x14ac:dyDescent="0.3">
      <c r="B12" s="677"/>
      <c r="C12" s="678"/>
      <c r="D12" s="164">
        <v>-5630</v>
      </c>
      <c r="E12" s="165"/>
      <c r="F12" s="166">
        <v>12200</v>
      </c>
      <c r="G12" s="167"/>
      <c r="H12" s="168"/>
      <c r="I12" s="169">
        <v>55795.739999999991</v>
      </c>
      <c r="J12" s="170">
        <v>11191.570000000007</v>
      </c>
      <c r="K12" s="141"/>
      <c r="L12" s="171">
        <v>66987.31</v>
      </c>
      <c r="M12" s="141"/>
      <c r="N12" s="689"/>
      <c r="O12" s="172"/>
      <c r="P12" s="173"/>
      <c r="Q12" s="174"/>
      <c r="R12" s="146"/>
      <c r="S12" s="173"/>
      <c r="T12" s="175"/>
      <c r="U12" s="176"/>
      <c r="V12" s="141"/>
      <c r="W12" s="177"/>
      <c r="X12" s="163"/>
    </row>
    <row r="13" spans="1:39" ht="15.75" thickBot="1" x14ac:dyDescent="0.3">
      <c r="B13" s="679"/>
      <c r="C13" s="680"/>
      <c r="D13" s="680"/>
      <c r="E13" s="680"/>
      <c r="F13" s="680"/>
      <c r="G13" s="680"/>
      <c r="H13" s="680"/>
      <c r="I13" s="680"/>
      <c r="J13" s="680"/>
      <c r="K13" s="680"/>
      <c r="L13" s="680"/>
      <c r="M13" s="178"/>
      <c r="N13" s="690"/>
      <c r="O13" s="178"/>
      <c r="P13" s="178"/>
      <c r="Q13" s="179"/>
      <c r="R13" s="179"/>
      <c r="S13" s="178"/>
      <c r="T13" s="180"/>
      <c r="U13" s="181"/>
      <c r="V13" s="182"/>
      <c r="W13" s="183"/>
      <c r="X13" s="163"/>
    </row>
    <row r="14" spans="1:39" ht="75.75" customHeight="1" thickBot="1" x14ac:dyDescent="0.3">
      <c r="B14" s="669" t="s">
        <v>102</v>
      </c>
      <c r="C14" s="670"/>
      <c r="D14" s="184">
        <v>127020</v>
      </c>
      <c r="E14" s="184">
        <v>2428</v>
      </c>
      <c r="F14" s="184">
        <v>85495</v>
      </c>
      <c r="G14" s="184">
        <v>214599.00043708098</v>
      </c>
      <c r="H14" s="184">
        <v>243062.99999999991</v>
      </c>
      <c r="I14" s="185">
        <v>158803.26</v>
      </c>
      <c r="J14" s="186">
        <v>148267.43</v>
      </c>
      <c r="K14" s="124"/>
      <c r="L14" s="187">
        <v>307070.69</v>
      </c>
      <c r="M14" s="124"/>
      <c r="N14" s="188"/>
      <c r="O14" s="188"/>
      <c r="P14" s="172"/>
      <c r="Q14" s="189"/>
      <c r="R14" s="190"/>
      <c r="S14" s="191"/>
      <c r="T14" s="192"/>
      <c r="U14" s="193"/>
      <c r="V14" s="124"/>
      <c r="W14" s="194"/>
      <c r="AC14" s="195" t="s">
        <v>106</v>
      </c>
      <c r="AD14" s="196" t="s">
        <v>107</v>
      </c>
      <c r="AF14" s="196" t="s">
        <v>108</v>
      </c>
      <c r="AG14" s="196" t="s">
        <v>107</v>
      </c>
      <c r="AI14" s="196" t="s">
        <v>109</v>
      </c>
      <c r="AJ14" s="196" t="s">
        <v>107</v>
      </c>
      <c r="AL14" s="196" t="s">
        <v>110</v>
      </c>
      <c r="AM14" s="196" t="s">
        <v>107</v>
      </c>
    </row>
    <row r="15" spans="1:39" ht="15.75" thickBot="1" x14ac:dyDescent="0.3">
      <c r="B15" s="197" t="s">
        <v>1</v>
      </c>
      <c r="C15" s="198">
        <v>3110</v>
      </c>
      <c r="D15" s="199">
        <v>1059</v>
      </c>
      <c r="E15" s="200"/>
      <c r="F15" s="201"/>
      <c r="G15" s="199"/>
      <c r="H15" s="202"/>
      <c r="I15" s="199"/>
      <c r="J15" s="200"/>
      <c r="K15" s="201"/>
      <c r="L15" s="203"/>
      <c r="M15" s="201"/>
      <c r="N15" s="204">
        <v>52626.109296248054</v>
      </c>
      <c r="O15" s="205"/>
      <c r="P15" s="205"/>
      <c r="Q15" s="206"/>
      <c r="R15" s="200"/>
      <c r="S15" s="207"/>
      <c r="T15" s="208"/>
      <c r="U15" s="209"/>
      <c r="V15" s="205"/>
      <c r="W15" s="210"/>
      <c r="X15" s="211" t="s">
        <v>99</v>
      </c>
      <c r="Y15" s="212" t="s">
        <v>97</v>
      </c>
      <c r="Z15" s="213" t="s">
        <v>98</v>
      </c>
      <c r="AB15" s="64" t="s">
        <v>1</v>
      </c>
    </row>
    <row r="16" spans="1:39" x14ac:dyDescent="0.25">
      <c r="A16" s="64" t="s">
        <v>111</v>
      </c>
      <c r="B16" s="214" t="s">
        <v>29</v>
      </c>
      <c r="C16" s="215">
        <v>3111</v>
      </c>
      <c r="D16" s="216">
        <v>24804</v>
      </c>
      <c r="E16" s="217">
        <v>0</v>
      </c>
      <c r="F16" s="218">
        <v>0</v>
      </c>
      <c r="G16" s="219">
        <v>12372.393426229904</v>
      </c>
      <c r="H16" s="220">
        <v>22243.381052693017</v>
      </c>
      <c r="I16" s="216">
        <v>9155.5711354101295</v>
      </c>
      <c r="J16" s="217">
        <v>13568.46244214274</v>
      </c>
      <c r="K16" s="218"/>
      <c r="L16" s="221">
        <v>22724.033577552869</v>
      </c>
      <c r="M16" s="143">
        <v>0</v>
      </c>
      <c r="N16" s="172"/>
      <c r="O16" s="222">
        <v>26033.274400000002</v>
      </c>
      <c r="P16" s="223">
        <v>-3309.2408224471328</v>
      </c>
      <c r="Q16" s="224">
        <v>11321</v>
      </c>
      <c r="R16" s="217">
        <v>22361</v>
      </c>
      <c r="S16" s="145">
        <v>-3309.2408224471328</v>
      </c>
      <c r="T16" s="225">
        <v>18823</v>
      </c>
      <c r="U16" s="226">
        <v>20052.274400000002</v>
      </c>
      <c r="V16" s="226">
        <v>2671.7591775528672</v>
      </c>
      <c r="W16" s="227">
        <v>0.13323970758912351</v>
      </c>
      <c r="X16" s="228">
        <v>7648.7255999999998</v>
      </c>
      <c r="Y16" s="228">
        <v>11891.740901370049</v>
      </c>
      <c r="Z16" s="229">
        <v>4243.0153013700492</v>
      </c>
      <c r="AB16" s="64" t="s">
        <v>29</v>
      </c>
      <c r="AC16" s="228">
        <v>20871.94671234626</v>
      </c>
      <c r="AD16" s="228">
        <v>-1371.4343403467574</v>
      </c>
      <c r="AF16" s="228">
        <v>21105.449289855926</v>
      </c>
      <c r="AG16" s="228">
        <v>-1137.9317628370918</v>
      </c>
      <c r="AI16" s="228">
        <v>21200.737138519686</v>
      </c>
      <c r="AJ16" s="228">
        <v>-1042.6439141733317</v>
      </c>
      <c r="AL16" s="228">
        <v>21302.686675294073</v>
      </c>
      <c r="AM16" s="228">
        <v>-940.6943773989442</v>
      </c>
    </row>
    <row r="17" spans="1:39" x14ac:dyDescent="0.25">
      <c r="A17" s="64" t="s">
        <v>112</v>
      </c>
      <c r="B17" s="230" t="s">
        <v>0</v>
      </c>
      <c r="C17" s="231">
        <v>3112</v>
      </c>
      <c r="D17" s="232">
        <v>14315</v>
      </c>
      <c r="E17" s="233">
        <v>-12</v>
      </c>
      <c r="F17" s="234">
        <v>0</v>
      </c>
      <c r="G17" s="235">
        <v>7682.6141365449512</v>
      </c>
      <c r="H17" s="236">
        <v>11062.804880530315</v>
      </c>
      <c r="I17" s="232">
        <v>5685.1344610432634</v>
      </c>
      <c r="J17" s="237">
        <v>6748.3109771234922</v>
      </c>
      <c r="K17" s="234"/>
      <c r="L17" s="238">
        <v>12433.445438166757</v>
      </c>
      <c r="M17" s="239">
        <v>0</v>
      </c>
      <c r="N17" s="172"/>
      <c r="O17" s="222">
        <v>12644.671200000001</v>
      </c>
      <c r="P17" s="223">
        <v>-211.22576183324418</v>
      </c>
      <c r="Q17" s="224">
        <v>6983</v>
      </c>
      <c r="R17" s="217">
        <v>11536</v>
      </c>
      <c r="S17" s="145">
        <v>-211.22576183324418</v>
      </c>
      <c r="T17" s="225">
        <v>9041</v>
      </c>
      <c r="U17" s="226">
        <v>7370.6712000000007</v>
      </c>
      <c r="V17" s="226">
        <v>5062.7742381667558</v>
      </c>
      <c r="W17" s="227">
        <v>0.68688103169854531</v>
      </c>
      <c r="X17" s="228">
        <v>5874.3288000000002</v>
      </c>
      <c r="Y17" s="228">
        <v>6311.9735789085098</v>
      </c>
      <c r="Z17" s="228">
        <v>437.64477890850958</v>
      </c>
      <c r="AB17" s="64" t="s">
        <v>0</v>
      </c>
      <c r="AC17" s="228">
        <v>10870.816888833659</v>
      </c>
      <c r="AD17" s="228">
        <v>-191.98799169665654</v>
      </c>
      <c r="AF17" s="228">
        <v>11244.146831933231</v>
      </c>
      <c r="AG17" s="228">
        <v>181.34195140291558</v>
      </c>
      <c r="AI17" s="228">
        <v>11052.458708024607</v>
      </c>
      <c r="AJ17" s="228">
        <v>-10.346172505707727</v>
      </c>
      <c r="AL17" s="228">
        <v>10930.195243413571</v>
      </c>
      <c r="AM17" s="228">
        <v>-132.60963711674412</v>
      </c>
    </row>
    <row r="18" spans="1:39" ht="15.75" thickBot="1" x14ac:dyDescent="0.3">
      <c r="A18" s="64" t="s">
        <v>113</v>
      </c>
      <c r="B18" s="240" t="s">
        <v>79</v>
      </c>
      <c r="C18" s="241">
        <v>3113</v>
      </c>
      <c r="D18" s="242">
        <v>8007</v>
      </c>
      <c r="E18" s="243">
        <v>-17</v>
      </c>
      <c r="F18" s="244">
        <v>500</v>
      </c>
      <c r="G18" s="245">
        <v>6075.6962624412108</v>
      </c>
      <c r="H18" s="246">
        <v>21266.582043150709</v>
      </c>
      <c r="I18" s="242">
        <v>4496.0152342064957</v>
      </c>
      <c r="J18" s="247">
        <v>12972.615046321933</v>
      </c>
      <c r="K18" s="244"/>
      <c r="L18" s="248">
        <v>17468.630280528429</v>
      </c>
      <c r="M18" s="249">
        <v>0</v>
      </c>
      <c r="N18" s="188"/>
      <c r="O18" s="250">
        <v>17720.4408</v>
      </c>
      <c r="P18" s="156">
        <v>-251.81051947157175</v>
      </c>
      <c r="Q18" s="251">
        <v>4867</v>
      </c>
      <c r="R18" s="247">
        <v>18674</v>
      </c>
      <c r="S18" s="252">
        <v>-251.81051947157175</v>
      </c>
      <c r="T18" s="253">
        <v>9406</v>
      </c>
      <c r="U18" s="249">
        <v>18619.4408</v>
      </c>
      <c r="V18" s="254">
        <v>-1150.8105194715718</v>
      </c>
      <c r="W18" s="255">
        <v>-6.1806932433307649E-2</v>
      </c>
      <c r="X18" s="228">
        <v>5820.5591999999997</v>
      </c>
      <c r="Y18" s="228">
        <v>9873.6480250634922</v>
      </c>
      <c r="Z18" s="229">
        <v>4053.0888250634925</v>
      </c>
      <c r="AB18" s="64" t="s">
        <v>79</v>
      </c>
      <c r="AC18" s="228">
        <v>19645.117171112513</v>
      </c>
      <c r="AD18" s="228">
        <v>-1621.4648720381956</v>
      </c>
      <c r="AF18" s="228">
        <v>19931.089668163066</v>
      </c>
      <c r="AG18" s="228">
        <v>-1335.4923749876434</v>
      </c>
      <c r="AI18" s="228">
        <v>20219.086611078455</v>
      </c>
      <c r="AJ18" s="228">
        <v>-1047.4954320722536</v>
      </c>
      <c r="AL18" s="228">
        <v>20465.637003364747</v>
      </c>
      <c r="AM18" s="228">
        <v>-800.94503978596185</v>
      </c>
    </row>
    <row r="19" spans="1:39" ht="15.75" thickBot="1" x14ac:dyDescent="0.3">
      <c r="B19" s="197" t="s">
        <v>2</v>
      </c>
      <c r="C19" s="198">
        <v>3120</v>
      </c>
      <c r="D19" s="199">
        <v>1614</v>
      </c>
      <c r="E19" s="200">
        <v>1247</v>
      </c>
      <c r="F19" s="201"/>
      <c r="G19" s="199"/>
      <c r="H19" s="202"/>
      <c r="I19" s="199"/>
      <c r="J19" s="200"/>
      <c r="K19" s="201"/>
      <c r="L19" s="203"/>
      <c r="M19" s="201"/>
      <c r="N19" s="204">
        <v>41986.585088291802</v>
      </c>
      <c r="O19" s="205"/>
      <c r="P19" s="205"/>
      <c r="Q19" s="256"/>
      <c r="R19" s="200"/>
      <c r="S19" s="207"/>
      <c r="T19" s="208"/>
      <c r="U19" s="209"/>
      <c r="V19" s="205"/>
      <c r="W19" s="210"/>
      <c r="X19" s="228"/>
      <c r="Z19" s="228"/>
      <c r="AB19" s="64" t="s">
        <v>2</v>
      </c>
      <c r="AC19" s="228"/>
      <c r="AD19" s="228"/>
      <c r="AF19" s="228"/>
      <c r="AG19" s="228"/>
      <c r="AI19" s="228"/>
      <c r="AJ19" s="228"/>
      <c r="AL19" s="228"/>
      <c r="AM19" s="228"/>
    </row>
    <row r="20" spans="1:39" x14ac:dyDescent="0.25">
      <c r="A20" s="64" t="s">
        <v>114</v>
      </c>
      <c r="B20" s="214" t="s">
        <v>3</v>
      </c>
      <c r="C20" s="215">
        <v>3122</v>
      </c>
      <c r="D20" s="216">
        <v>8639</v>
      </c>
      <c r="E20" s="217">
        <v>192</v>
      </c>
      <c r="F20" s="218">
        <v>0</v>
      </c>
      <c r="G20" s="219">
        <v>2753.9584891833688</v>
      </c>
      <c r="H20" s="236">
        <v>10492.186005225267</v>
      </c>
      <c r="I20" s="216">
        <v>2037.9292819956929</v>
      </c>
      <c r="J20" s="217">
        <v>6400.2334631874128</v>
      </c>
      <c r="K20" s="234"/>
      <c r="L20" s="221">
        <v>8438.1627451831064</v>
      </c>
      <c r="M20" s="143">
        <v>0</v>
      </c>
      <c r="N20" s="172"/>
      <c r="O20" s="222">
        <v>8819.141599999999</v>
      </c>
      <c r="P20" s="223">
        <v>-380.97885481689264</v>
      </c>
      <c r="Q20" s="224">
        <v>3205</v>
      </c>
      <c r="R20" s="237">
        <v>10198</v>
      </c>
      <c r="S20" s="145">
        <v>-380.97885481689264</v>
      </c>
      <c r="T20" s="225">
        <v>7386</v>
      </c>
      <c r="U20" s="226">
        <v>7566.141599999999</v>
      </c>
      <c r="V20" s="257">
        <v>872.02114518310736</v>
      </c>
      <c r="W20" s="258">
        <v>0.11525308291654328</v>
      </c>
      <c r="X20" s="225">
        <v>4583.8584000000001</v>
      </c>
      <c r="Y20" s="228">
        <v>4807.9817492255297</v>
      </c>
      <c r="Z20" s="259">
        <v>224.12334922552964</v>
      </c>
      <c r="AA20" s="260" t="s">
        <v>23</v>
      </c>
      <c r="AB20" s="64" t="s">
        <v>3</v>
      </c>
      <c r="AC20" s="228">
        <v>14116.614560910381</v>
      </c>
      <c r="AD20" s="228">
        <v>3624.4285556851137</v>
      </c>
      <c r="AF20" s="228">
        <v>14208.29448374721</v>
      </c>
      <c r="AG20" s="228">
        <v>3716.1084785219427</v>
      </c>
      <c r="AI20" s="228">
        <v>13943.627228786187</v>
      </c>
      <c r="AJ20" s="228">
        <v>3451.4412235609198</v>
      </c>
      <c r="AL20" s="228">
        <v>13764.730756532823</v>
      </c>
      <c r="AM20" s="228">
        <v>3272.544751307556</v>
      </c>
    </row>
    <row r="21" spans="1:39" x14ac:dyDescent="0.25">
      <c r="A21" s="64" t="s">
        <v>115</v>
      </c>
      <c r="B21" s="214" t="s">
        <v>30</v>
      </c>
      <c r="C21" s="215">
        <v>3123</v>
      </c>
      <c r="D21" s="216">
        <v>10964</v>
      </c>
      <c r="E21" s="217">
        <v>100</v>
      </c>
      <c r="F21" s="218">
        <v>2000</v>
      </c>
      <c r="G21" s="219">
        <v>25404.547677230064</v>
      </c>
      <c r="H21" s="220">
        <v>13183.989851356388</v>
      </c>
      <c r="I21" s="216">
        <v>18799.365281150247</v>
      </c>
      <c r="J21" s="217">
        <v>8042.2338093273966</v>
      </c>
      <c r="K21" s="234"/>
      <c r="L21" s="221">
        <v>26841.599090477644</v>
      </c>
      <c r="M21" s="143">
        <v>0</v>
      </c>
      <c r="N21" s="172"/>
      <c r="O21" s="222">
        <v>27861.748</v>
      </c>
      <c r="P21" s="223">
        <v>-1020.1489095223551</v>
      </c>
      <c r="Q21" s="224">
        <v>25641</v>
      </c>
      <c r="R21" s="237">
        <v>13714</v>
      </c>
      <c r="S21" s="145">
        <v>-1020.1489095223551</v>
      </c>
      <c r="T21" s="225">
        <v>10076</v>
      </c>
      <c r="U21" s="226">
        <v>24973.748</v>
      </c>
      <c r="V21" s="226">
        <v>1867.8510904776449</v>
      </c>
      <c r="W21" s="227">
        <v>7.4792581813416428E-2</v>
      </c>
      <c r="X21" s="228">
        <v>11493.252</v>
      </c>
      <c r="Y21" s="228">
        <v>11746.938438108806</v>
      </c>
      <c r="Z21" s="228">
        <v>253.68643810880531</v>
      </c>
      <c r="AB21" s="64" t="s">
        <v>30</v>
      </c>
      <c r="AC21" s="228">
        <v>12452.805291613498</v>
      </c>
      <c r="AD21" s="228">
        <v>-731.18455974288918</v>
      </c>
      <c r="AF21" s="228">
        <v>12687.625644882297</v>
      </c>
      <c r="AG21" s="228">
        <v>-496.36420647409068</v>
      </c>
      <c r="AI21" s="228">
        <v>12405.754832805193</v>
      </c>
      <c r="AJ21" s="228">
        <v>-778.23501855119503</v>
      </c>
      <c r="AL21" s="228">
        <v>12228.590102103608</v>
      </c>
      <c r="AM21" s="228">
        <v>-955.39974925277966</v>
      </c>
    </row>
    <row r="22" spans="1:39" x14ac:dyDescent="0.25">
      <c r="A22" s="64" t="s">
        <v>78</v>
      </c>
      <c r="B22" s="214" t="s">
        <v>4</v>
      </c>
      <c r="C22" s="215">
        <v>3125</v>
      </c>
      <c r="D22" s="216">
        <v>665</v>
      </c>
      <c r="E22" s="261">
        <v>-138</v>
      </c>
      <c r="F22" s="218">
        <v>15000</v>
      </c>
      <c r="G22" s="219">
        <v>3303.0002378909703</v>
      </c>
      <c r="H22" s="262">
        <v>1998.3932567032462</v>
      </c>
      <c r="I22" s="216">
        <v>2444.2201760393182</v>
      </c>
      <c r="J22" s="217">
        <v>1219.0198865889802</v>
      </c>
      <c r="K22" s="234"/>
      <c r="L22" s="221">
        <v>3663.0400626282985</v>
      </c>
      <c r="M22" s="143">
        <v>0</v>
      </c>
      <c r="N22" s="172"/>
      <c r="O22" s="222">
        <v>311.22000000000116</v>
      </c>
      <c r="P22" s="223">
        <v>3351.8200626282974</v>
      </c>
      <c r="Q22" s="224">
        <v>3141</v>
      </c>
      <c r="R22" s="237">
        <v>1539</v>
      </c>
      <c r="S22" s="145">
        <v>3351.8200626282974</v>
      </c>
      <c r="T22" s="225">
        <v>16731</v>
      </c>
      <c r="U22" s="226">
        <v>1377.2200000000012</v>
      </c>
      <c r="V22" s="257">
        <v>2285.8200626282974</v>
      </c>
      <c r="W22" s="227">
        <v>1.6597348736064648</v>
      </c>
      <c r="X22" s="228">
        <v>4368.78</v>
      </c>
      <c r="Y22" s="228">
        <v>1638.3534319659179</v>
      </c>
      <c r="Z22" s="259">
        <v>-2730.4265680340818</v>
      </c>
      <c r="AA22" s="260" t="s">
        <v>23</v>
      </c>
      <c r="AB22" s="64" t="s">
        <v>4</v>
      </c>
      <c r="AC22" s="228">
        <v>1743.6231087469896</v>
      </c>
      <c r="AD22" s="228">
        <v>-254.77014795625655</v>
      </c>
      <c r="AF22" s="228">
        <v>1762.8385537681195</v>
      </c>
      <c r="AG22" s="228">
        <v>-235.55470293512667</v>
      </c>
      <c r="AI22" s="228">
        <v>1739.4417899600285</v>
      </c>
      <c r="AJ22" s="228">
        <v>-258.95146674321768</v>
      </c>
      <c r="AL22" s="228">
        <v>1726.2615436793183</v>
      </c>
      <c r="AM22" s="228">
        <v>-272.13171302392789</v>
      </c>
    </row>
    <row r="23" spans="1:39" ht="15.75" thickBot="1" x14ac:dyDescent="0.3">
      <c r="A23" s="64" t="s">
        <v>116</v>
      </c>
      <c r="B23" s="240" t="s">
        <v>5</v>
      </c>
      <c r="C23" s="241">
        <v>3127</v>
      </c>
      <c r="D23" s="242">
        <v>6248</v>
      </c>
      <c r="E23" s="247">
        <v>431</v>
      </c>
      <c r="F23" s="244">
        <v>0</v>
      </c>
      <c r="G23" s="245">
        <v>2699.3390178819122</v>
      </c>
      <c r="H23" s="263">
        <v>1714.5447815903913</v>
      </c>
      <c r="I23" s="242">
        <v>1997.510873232615</v>
      </c>
      <c r="J23" s="247">
        <v>1045.8723167701387</v>
      </c>
      <c r="K23" s="161"/>
      <c r="L23" s="248">
        <v>3043.7831900027536</v>
      </c>
      <c r="M23" s="249">
        <v>0</v>
      </c>
      <c r="N23" s="188"/>
      <c r="O23" s="250">
        <v>4019.119200000001</v>
      </c>
      <c r="P23" s="156">
        <v>-975.3360099972474</v>
      </c>
      <c r="Q23" s="251">
        <v>2914</v>
      </c>
      <c r="R23" s="264">
        <v>3350</v>
      </c>
      <c r="S23" s="252">
        <v>-975.3360099972474</v>
      </c>
      <c r="T23" s="253">
        <v>6661</v>
      </c>
      <c r="U23" s="249">
        <v>4432.119200000001</v>
      </c>
      <c r="V23" s="254">
        <v>-1388.3360099972474</v>
      </c>
      <c r="W23" s="265">
        <v>-0.31324428503575608</v>
      </c>
      <c r="X23" s="225">
        <v>2244.8807999999999</v>
      </c>
      <c r="Y23" s="228">
        <v>1370.1006094695499</v>
      </c>
      <c r="Z23" s="259">
        <v>-874.78019053045</v>
      </c>
      <c r="AA23" s="260" t="s">
        <v>11</v>
      </c>
      <c r="AB23" s="64" t="s">
        <v>5</v>
      </c>
      <c r="AC23" s="228">
        <v>3574.7865866592647</v>
      </c>
      <c r="AD23" s="228">
        <v>1860.2418050688734</v>
      </c>
      <c r="AF23" s="228">
        <v>3545.2262638029251</v>
      </c>
      <c r="AG23" s="228">
        <v>1830.6814822125339</v>
      </c>
      <c r="AI23" s="228">
        <v>3513.2317663105014</v>
      </c>
      <c r="AJ23" s="228">
        <v>1798.6869847201101</v>
      </c>
      <c r="AL23" s="228">
        <v>3472.3453002342876</v>
      </c>
      <c r="AM23" s="228">
        <v>1757.8005186438963</v>
      </c>
    </row>
    <row r="24" spans="1:39" ht="15.75" thickBot="1" x14ac:dyDescent="0.3">
      <c r="B24" s="197" t="s">
        <v>54</v>
      </c>
      <c r="C24" s="198">
        <v>3130</v>
      </c>
      <c r="D24" s="199">
        <v>992</v>
      </c>
      <c r="E24" s="200"/>
      <c r="F24" s="201"/>
      <c r="G24" s="199"/>
      <c r="H24" s="202"/>
      <c r="I24" s="199"/>
      <c r="J24" s="200"/>
      <c r="K24" s="201"/>
      <c r="L24" s="203"/>
      <c r="M24" s="201"/>
      <c r="N24" s="204">
        <v>44418.999717243089</v>
      </c>
      <c r="O24" s="205"/>
      <c r="P24" s="266"/>
      <c r="Q24" s="256"/>
      <c r="R24" s="200"/>
      <c r="S24" s="207"/>
      <c r="T24" s="208"/>
      <c r="U24" s="209"/>
      <c r="V24" s="205"/>
      <c r="W24" s="210"/>
      <c r="X24" s="228"/>
      <c r="Z24" s="228"/>
      <c r="AB24" s="64" t="s">
        <v>54</v>
      </c>
      <c r="AC24" s="228"/>
      <c r="AD24" s="228"/>
      <c r="AF24" s="228"/>
      <c r="AG24" s="228"/>
      <c r="AI24" s="228"/>
      <c r="AJ24" s="228"/>
      <c r="AL24" s="228"/>
      <c r="AM24" s="228"/>
    </row>
    <row r="25" spans="1:39" x14ac:dyDescent="0.25">
      <c r="A25" s="64" t="s">
        <v>72</v>
      </c>
      <c r="B25" s="214" t="s">
        <v>31</v>
      </c>
      <c r="C25" s="215">
        <v>3131</v>
      </c>
      <c r="D25" s="216">
        <v>0</v>
      </c>
      <c r="E25" s="217">
        <v>79</v>
      </c>
      <c r="F25" s="218">
        <v>0</v>
      </c>
      <c r="G25" s="219">
        <v>1422.1308913901844</v>
      </c>
      <c r="H25" s="236">
        <v>7941.4552788566689</v>
      </c>
      <c r="I25" s="216">
        <v>1052.3768596287364</v>
      </c>
      <c r="J25" s="217">
        <v>4844.2877201025676</v>
      </c>
      <c r="K25" s="234"/>
      <c r="L25" s="221">
        <v>5896.664579731304</v>
      </c>
      <c r="M25" s="143"/>
      <c r="N25" s="172"/>
      <c r="O25" s="222">
        <v>5918.9575999999997</v>
      </c>
      <c r="P25" s="223">
        <v>-22.293020268695727</v>
      </c>
      <c r="Q25" s="224">
        <v>1938</v>
      </c>
      <c r="R25" s="237">
        <v>7355</v>
      </c>
      <c r="S25" s="145">
        <v>-22.293020268695727</v>
      </c>
      <c r="T25" s="225">
        <v>5634</v>
      </c>
      <c r="U25" s="226">
        <v>11552.9576</v>
      </c>
      <c r="V25" s="257">
        <v>-5656.2930202686957</v>
      </c>
      <c r="W25" s="227">
        <v>-0.48959696868174224</v>
      </c>
      <c r="X25" s="228">
        <v>3374.0424000000003</v>
      </c>
      <c r="Y25" s="228">
        <v>3466.9215905155497</v>
      </c>
      <c r="Z25" s="259">
        <v>92.879190515549453</v>
      </c>
      <c r="AA25" s="260" t="s">
        <v>23</v>
      </c>
      <c r="AB25" s="64" t="s">
        <v>31</v>
      </c>
      <c r="AC25" s="228">
        <v>9858.7076027280054</v>
      </c>
      <c r="AD25" s="228">
        <v>1917.2523238713366</v>
      </c>
      <c r="AF25" s="228">
        <v>10142.634031735179</v>
      </c>
      <c r="AG25" s="228">
        <v>2201.1787528785098</v>
      </c>
      <c r="AI25" s="228">
        <v>9923.4416510817937</v>
      </c>
      <c r="AJ25" s="228">
        <v>1981.9863722251248</v>
      </c>
      <c r="AL25" s="228">
        <v>9792.8275630104727</v>
      </c>
      <c r="AM25" s="228">
        <v>1851.3722841538038</v>
      </c>
    </row>
    <row r="26" spans="1:39" x14ac:dyDescent="0.25">
      <c r="A26" s="64" t="s">
        <v>74</v>
      </c>
      <c r="B26" s="214" t="s">
        <v>32</v>
      </c>
      <c r="C26" s="231">
        <v>3132</v>
      </c>
      <c r="D26" s="216">
        <v>4134</v>
      </c>
      <c r="E26" s="217">
        <v>550</v>
      </c>
      <c r="F26" s="218">
        <v>3500</v>
      </c>
      <c r="G26" s="219">
        <v>3752.3714169854015</v>
      </c>
      <c r="H26" s="236">
        <v>14665.902649815296</v>
      </c>
      <c r="I26" s="216">
        <v>2776.7548485691973</v>
      </c>
      <c r="J26" s="217">
        <v>8946.2006163873302</v>
      </c>
      <c r="K26" s="234"/>
      <c r="L26" s="221">
        <v>11722.955464956527</v>
      </c>
      <c r="M26" s="143"/>
      <c r="N26" s="172"/>
      <c r="O26" s="222">
        <v>9517.9423999999999</v>
      </c>
      <c r="P26" s="223">
        <v>2205.0130649565272</v>
      </c>
      <c r="Q26" s="224">
        <v>3504</v>
      </c>
      <c r="R26" s="237">
        <v>14402</v>
      </c>
      <c r="S26" s="145">
        <v>2205.0130649565272</v>
      </c>
      <c r="T26" s="225">
        <v>9141</v>
      </c>
      <c r="U26" s="226">
        <v>11024.9424</v>
      </c>
      <c r="V26" s="267">
        <v>698.01306495652716</v>
      </c>
      <c r="W26" s="227">
        <v>6.3312173400246266E-2</v>
      </c>
      <c r="X26" s="228">
        <v>8388.0576000000001</v>
      </c>
      <c r="Y26" s="228">
        <v>6695.318601844172</v>
      </c>
      <c r="Z26" s="259">
        <v>-1692.7389981558281</v>
      </c>
      <c r="AA26" s="260" t="s">
        <v>23</v>
      </c>
      <c r="AB26" s="64" t="s">
        <v>32</v>
      </c>
      <c r="AC26" s="228">
        <v>15814.338975647937</v>
      </c>
      <c r="AD26" s="228">
        <v>1148.4363258326412</v>
      </c>
      <c r="AF26" s="228">
        <v>15517.896733046657</v>
      </c>
      <c r="AG26" s="228">
        <v>851.99408323136049</v>
      </c>
      <c r="AI26" s="228">
        <v>15532.6923032661</v>
      </c>
      <c r="AJ26" s="228">
        <v>866.7896534508036</v>
      </c>
      <c r="AL26" s="228">
        <v>15510.14694597153</v>
      </c>
      <c r="AM26" s="228">
        <v>844.24429615623376</v>
      </c>
    </row>
    <row r="27" spans="1:39" x14ac:dyDescent="0.25">
      <c r="A27" s="64" t="s">
        <v>117</v>
      </c>
      <c r="B27" s="214" t="s">
        <v>33</v>
      </c>
      <c r="C27" s="215">
        <v>3133</v>
      </c>
      <c r="D27" s="216">
        <v>421</v>
      </c>
      <c r="E27" s="217">
        <v>7</v>
      </c>
      <c r="F27" s="218">
        <v>1000</v>
      </c>
      <c r="G27" s="219">
        <v>3920.6787040757868</v>
      </c>
      <c r="H27" s="236">
        <v>9179.2638568767325</v>
      </c>
      <c r="I27" s="216">
        <v>2901.302241016082</v>
      </c>
      <c r="J27" s="217">
        <v>5599.3509526948064</v>
      </c>
      <c r="K27" s="234"/>
      <c r="L27" s="221">
        <v>8500.6531937108884</v>
      </c>
      <c r="M27" s="143"/>
      <c r="N27" s="172"/>
      <c r="O27" s="222">
        <v>5085.2423999999992</v>
      </c>
      <c r="P27" s="223">
        <v>3415.4107937108893</v>
      </c>
      <c r="Q27" s="224">
        <v>4045</v>
      </c>
      <c r="R27" s="237">
        <v>7748</v>
      </c>
      <c r="S27" s="145">
        <v>3415.4107937108893</v>
      </c>
      <c r="T27" s="225">
        <v>5307</v>
      </c>
      <c r="U27" s="226">
        <v>8971.2423999999992</v>
      </c>
      <c r="V27" s="267">
        <v>-470.58920628911073</v>
      </c>
      <c r="W27" s="227">
        <v>-5.2455299423088908E-2</v>
      </c>
      <c r="X27" s="228">
        <v>6707.7575999999999</v>
      </c>
      <c r="Y27" s="228">
        <v>4599.2893672416303</v>
      </c>
      <c r="Z27" s="259">
        <v>-2108.4682327583696</v>
      </c>
      <c r="AA27" s="260" t="s">
        <v>23</v>
      </c>
      <c r="AB27" s="64" t="s">
        <v>33</v>
      </c>
      <c r="AC27" s="228">
        <v>11086.804262929052</v>
      </c>
      <c r="AD27" s="228">
        <v>1907.5404060523197</v>
      </c>
      <c r="AF27" s="228">
        <v>10466.145046956279</v>
      </c>
      <c r="AG27" s="228">
        <v>1286.8811900795463</v>
      </c>
      <c r="AI27" s="228">
        <v>10593.765263632256</v>
      </c>
      <c r="AJ27" s="228">
        <v>1414.5014067555239</v>
      </c>
      <c r="AL27" s="228">
        <v>10639.480778957655</v>
      </c>
      <c r="AM27" s="228">
        <v>1460.2169220809228</v>
      </c>
    </row>
    <row r="28" spans="1:39" x14ac:dyDescent="0.25">
      <c r="A28" s="64" t="s">
        <v>77</v>
      </c>
      <c r="B28" s="214" t="s">
        <v>34</v>
      </c>
      <c r="C28" s="215">
        <v>3134</v>
      </c>
      <c r="D28" s="216">
        <v>12922</v>
      </c>
      <c r="E28" s="268">
        <v>-300</v>
      </c>
      <c r="F28" s="218"/>
      <c r="G28" s="219">
        <v>10331.426983302505</v>
      </c>
      <c r="H28" s="220">
        <v>8909.8716809188045</v>
      </c>
      <c r="I28" s="216">
        <v>7645.2559676438532</v>
      </c>
      <c r="J28" s="217">
        <v>5435.0217253604706</v>
      </c>
      <c r="K28" s="234"/>
      <c r="L28" s="221">
        <v>13080.277693004324</v>
      </c>
      <c r="M28" s="143"/>
      <c r="N28" s="172"/>
      <c r="O28" s="222">
        <v>13175.400000000001</v>
      </c>
      <c r="P28" s="223">
        <v>-95.122306995677718</v>
      </c>
      <c r="Q28" s="224">
        <v>8340</v>
      </c>
      <c r="R28" s="237">
        <v>8196</v>
      </c>
      <c r="S28" s="145">
        <v>-95.122306995677718</v>
      </c>
      <c r="T28" s="225">
        <v>5576</v>
      </c>
      <c r="U28" s="226">
        <v>5829.4000000000015</v>
      </c>
      <c r="V28" s="257">
        <v>7250.8776930043223</v>
      </c>
      <c r="W28" s="227">
        <v>1.2438463123141867</v>
      </c>
      <c r="X28" s="228">
        <v>3360.6000000000004</v>
      </c>
      <c r="Y28" s="228">
        <v>6161.0209712169835</v>
      </c>
      <c r="Z28" s="229">
        <v>2800.4209712169832</v>
      </c>
      <c r="AB28" s="64" t="s">
        <v>34</v>
      </c>
      <c r="AC28" s="228">
        <v>9232.7537654831194</v>
      </c>
      <c r="AD28" s="228">
        <v>322.88208456431494</v>
      </c>
      <c r="AF28" s="228">
        <v>9434.9945604043805</v>
      </c>
      <c r="AG28" s="228">
        <v>525.12287948557605</v>
      </c>
      <c r="AI28" s="228">
        <v>9204.636695668738</v>
      </c>
      <c r="AJ28" s="228">
        <v>294.76501474993347</v>
      </c>
      <c r="AL28" s="228">
        <v>9070.3245145540095</v>
      </c>
      <c r="AM28" s="228">
        <v>160.45283363520502</v>
      </c>
    </row>
    <row r="29" spans="1:39" ht="15.75" thickBot="1" x14ac:dyDescent="0.3">
      <c r="A29" s="64" t="s">
        <v>73</v>
      </c>
      <c r="B29" s="240" t="s">
        <v>35</v>
      </c>
      <c r="C29" s="241">
        <v>3135</v>
      </c>
      <c r="D29" s="242">
        <v>0</v>
      </c>
      <c r="E29" s="269">
        <v>-123</v>
      </c>
      <c r="F29" s="244">
        <v>2167</v>
      </c>
      <c r="G29" s="245">
        <v>1297.9033222165183</v>
      </c>
      <c r="H29" s="263">
        <v>6980.0005367210179</v>
      </c>
      <c r="I29" s="242">
        <v>960.44845844022348</v>
      </c>
      <c r="J29" s="217">
        <v>4257.8003273998211</v>
      </c>
      <c r="K29" s="161"/>
      <c r="L29" s="248">
        <v>5218.4487858400444</v>
      </c>
      <c r="M29" s="249"/>
      <c r="N29" s="188"/>
      <c r="O29" s="250">
        <v>10462.2112</v>
      </c>
      <c r="P29" s="270">
        <v>-5243.7624141599554</v>
      </c>
      <c r="Q29" s="251">
        <v>1012</v>
      </c>
      <c r="R29" s="264">
        <v>12300</v>
      </c>
      <c r="S29" s="252">
        <v>-5243.7624141599554</v>
      </c>
      <c r="T29" s="253">
        <v>3423</v>
      </c>
      <c r="U29" s="249">
        <v>11718.2112</v>
      </c>
      <c r="V29" s="254">
        <v>-6499.7624141599554</v>
      </c>
      <c r="W29" s="265">
        <v>-0.5546718951575097</v>
      </c>
      <c r="X29" s="228">
        <v>2849.7887999999998</v>
      </c>
      <c r="Y29" s="228">
        <v>3059.4550730974915</v>
      </c>
      <c r="Z29" s="259">
        <v>209.66627309749174</v>
      </c>
      <c r="AA29" s="260" t="s">
        <v>11</v>
      </c>
      <c r="AB29" s="64" t="s">
        <v>35</v>
      </c>
      <c r="AC29" s="228">
        <v>12342.693414959846</v>
      </c>
      <c r="AD29" s="228">
        <v>5362.6928782388277</v>
      </c>
      <c r="AF29" s="228">
        <v>12113.497855553884</v>
      </c>
      <c r="AG29" s="228">
        <v>5133.4973188328659</v>
      </c>
      <c r="AI29" s="228">
        <v>12300.786550209767</v>
      </c>
      <c r="AJ29" s="228">
        <v>5320.7860134887487</v>
      </c>
      <c r="AL29" s="228">
        <v>12370.374482833802</v>
      </c>
      <c r="AM29" s="228">
        <v>5390.3739461127843</v>
      </c>
    </row>
    <row r="30" spans="1:39" ht="15.75" thickBot="1" x14ac:dyDescent="0.3">
      <c r="B30" s="197" t="s">
        <v>6</v>
      </c>
      <c r="C30" s="198">
        <v>3140</v>
      </c>
      <c r="D30" s="199">
        <v>177</v>
      </c>
      <c r="E30" s="200"/>
      <c r="F30" s="201"/>
      <c r="G30" s="199"/>
      <c r="H30" s="202"/>
      <c r="I30" s="199"/>
      <c r="J30" s="200"/>
      <c r="K30" s="201"/>
      <c r="L30" s="203"/>
      <c r="M30" s="201"/>
      <c r="N30" s="204">
        <v>62950.915758790434</v>
      </c>
      <c r="O30" s="205"/>
      <c r="P30" s="205"/>
      <c r="Q30" s="256"/>
      <c r="R30" s="200"/>
      <c r="S30" s="207"/>
      <c r="T30" s="208"/>
      <c r="U30" s="209"/>
      <c r="V30" s="271"/>
      <c r="W30" s="210"/>
      <c r="X30" s="228"/>
      <c r="Z30" s="228"/>
      <c r="AB30" s="64" t="s">
        <v>6</v>
      </c>
      <c r="AC30" s="228"/>
      <c r="AD30" s="228"/>
      <c r="AF30" s="228"/>
      <c r="AG30" s="228"/>
      <c r="AI30" s="228"/>
      <c r="AJ30" s="228"/>
      <c r="AL30" s="228"/>
      <c r="AM30" s="228"/>
    </row>
    <row r="31" spans="1:39" x14ac:dyDescent="0.25">
      <c r="A31" s="64" t="s">
        <v>118</v>
      </c>
      <c r="B31" s="214" t="s">
        <v>36</v>
      </c>
      <c r="C31" s="215">
        <v>3141</v>
      </c>
      <c r="D31" s="216">
        <v>2251</v>
      </c>
      <c r="E31" s="268">
        <v>-966</v>
      </c>
      <c r="F31" s="218">
        <v>2000</v>
      </c>
      <c r="G31" s="219">
        <v>8028.940734979743</v>
      </c>
      <c r="H31" s="220">
        <v>12299.640982856066</v>
      </c>
      <c r="I31" s="216">
        <v>5941.4161438850097</v>
      </c>
      <c r="J31" s="217">
        <v>7502.7809995422003</v>
      </c>
      <c r="K31" s="234"/>
      <c r="L31" s="221">
        <v>13443.997143427208</v>
      </c>
      <c r="M31" s="143"/>
      <c r="N31" s="172"/>
      <c r="O31" s="222">
        <v>14240.072</v>
      </c>
      <c r="P31" s="223">
        <v>-796.07485657279176</v>
      </c>
      <c r="Q31" s="224">
        <v>7524</v>
      </c>
      <c r="R31" s="237">
        <v>13034</v>
      </c>
      <c r="S31" s="145">
        <v>-796.07485657279176</v>
      </c>
      <c r="T31" s="225">
        <v>1884</v>
      </c>
      <c r="U31" s="226">
        <v>11873.072</v>
      </c>
      <c r="V31" s="257">
        <v>1570.9251434272082</v>
      </c>
      <c r="W31" s="227">
        <v>0.13230991468991413</v>
      </c>
      <c r="X31" s="228">
        <v>6317.9279999999999</v>
      </c>
      <c r="Y31" s="228">
        <v>6884.5845744086</v>
      </c>
      <c r="Z31" s="272">
        <v>566.65657440860014</v>
      </c>
      <c r="AA31" s="260"/>
      <c r="AB31" s="64" t="s">
        <v>36</v>
      </c>
      <c r="AC31" s="228">
        <v>11827.732684261204</v>
      </c>
      <c r="AD31" s="228">
        <v>-471.90829859486257</v>
      </c>
      <c r="AF31" s="228">
        <v>11079.704494295633</v>
      </c>
      <c r="AG31" s="228">
        <v>-1219.9364885604336</v>
      </c>
      <c r="AI31" s="228">
        <v>11512.318691640794</v>
      </c>
      <c r="AJ31" s="228">
        <v>-787.32229121527234</v>
      </c>
      <c r="AL31" s="228">
        <v>11781.631521738424</v>
      </c>
      <c r="AM31" s="228">
        <v>-518.00946111764279</v>
      </c>
    </row>
    <row r="32" spans="1:39" x14ac:dyDescent="0.25">
      <c r="A32" s="64" t="s">
        <v>75</v>
      </c>
      <c r="B32" s="214" t="s">
        <v>7</v>
      </c>
      <c r="C32" s="215">
        <v>3142</v>
      </c>
      <c r="D32" s="273">
        <v>0</v>
      </c>
      <c r="E32" s="274">
        <v>-172</v>
      </c>
      <c r="F32" s="218">
        <v>0</v>
      </c>
      <c r="G32" s="219">
        <v>11249.821722815666</v>
      </c>
      <c r="H32" s="220">
        <v>7391.2865818889477</v>
      </c>
      <c r="I32" s="216">
        <v>8324.8680748835923</v>
      </c>
      <c r="J32" s="217">
        <v>2171.6848149522584</v>
      </c>
      <c r="K32" s="234"/>
      <c r="L32" s="221">
        <v>10496.55288983585</v>
      </c>
      <c r="M32" s="143"/>
      <c r="N32" s="172"/>
      <c r="O32" s="222">
        <v>10252.4272</v>
      </c>
      <c r="P32" s="223">
        <v>244.1256898358497</v>
      </c>
      <c r="Q32" s="224">
        <v>9290</v>
      </c>
      <c r="R32" s="237">
        <v>5963</v>
      </c>
      <c r="S32" s="145">
        <v>244.1256898358497</v>
      </c>
      <c r="T32" s="225">
        <v>180</v>
      </c>
      <c r="U32" s="226">
        <v>10432.4272</v>
      </c>
      <c r="V32" s="257">
        <v>64.125689835849698</v>
      </c>
      <c r="W32" s="227">
        <v>6.1467660982910764E-3</v>
      </c>
      <c r="X32" s="228">
        <v>5000.5727999999999</v>
      </c>
      <c r="Y32" s="228">
        <v>8144.5554148687625</v>
      </c>
      <c r="Z32" s="259">
        <v>3143.9826148687625</v>
      </c>
      <c r="AA32" s="260" t="s">
        <v>11</v>
      </c>
      <c r="AB32" s="64" t="s">
        <v>7</v>
      </c>
      <c r="AC32" s="228">
        <v>8961.2083944276965</v>
      </c>
      <c r="AD32" s="228">
        <v>1569.9218125387488</v>
      </c>
      <c r="AF32" s="228">
        <v>8927.0489419326659</v>
      </c>
      <c r="AG32" s="228">
        <v>1535.7623600437182</v>
      </c>
      <c r="AI32" s="228">
        <v>8949.3585951152945</v>
      </c>
      <c r="AJ32" s="228">
        <v>1558.0720132263468</v>
      </c>
      <c r="AL32" s="228">
        <v>8939.8296027734959</v>
      </c>
      <c r="AM32" s="228">
        <v>1548.5430208845482</v>
      </c>
    </row>
    <row r="33" spans="1:39" x14ac:dyDescent="0.25">
      <c r="A33" s="64" t="s">
        <v>119</v>
      </c>
      <c r="B33" s="214" t="s">
        <v>37</v>
      </c>
      <c r="C33" s="215">
        <v>3143</v>
      </c>
      <c r="D33" s="216">
        <v>438</v>
      </c>
      <c r="E33" s="268">
        <v>-70</v>
      </c>
      <c r="F33" s="218">
        <v>8000</v>
      </c>
      <c r="G33" s="219">
        <v>17173.698628708447</v>
      </c>
      <c r="H33" s="220">
        <v>9688.1284091423822</v>
      </c>
      <c r="I33" s="216">
        <v>12708.536985244251</v>
      </c>
      <c r="J33" s="217">
        <v>5909.7583295768527</v>
      </c>
      <c r="K33" s="234"/>
      <c r="L33" s="221">
        <v>18618.295314821102</v>
      </c>
      <c r="M33" s="143"/>
      <c r="N33" s="172"/>
      <c r="O33" s="222">
        <v>18331.376</v>
      </c>
      <c r="P33" s="223">
        <v>286.91931482110158</v>
      </c>
      <c r="Q33" s="224">
        <v>16467</v>
      </c>
      <c r="R33" s="237">
        <v>8720</v>
      </c>
      <c r="S33" s="145">
        <v>286.91931482110158</v>
      </c>
      <c r="T33" s="225">
        <v>3428</v>
      </c>
      <c r="U33" s="226">
        <v>13321.376</v>
      </c>
      <c r="V33" s="226">
        <v>5296.9193148211016</v>
      </c>
      <c r="W33" s="227">
        <v>0.39762553919513283</v>
      </c>
      <c r="X33" s="228">
        <v>6855.6239999999998</v>
      </c>
      <c r="Y33" s="228">
        <v>8243.5317230297296</v>
      </c>
      <c r="Z33" s="229">
        <v>1387.9077230297298</v>
      </c>
      <c r="AB33" s="64" t="s">
        <v>37</v>
      </c>
      <c r="AC33" s="228">
        <v>9855.3836685717451</v>
      </c>
      <c r="AD33" s="228">
        <v>167.25525942936292</v>
      </c>
      <c r="AF33" s="228">
        <v>10021.481694354799</v>
      </c>
      <c r="AG33" s="228">
        <v>333.35328521241718</v>
      </c>
      <c r="AI33" s="228">
        <v>9874.4604780635127</v>
      </c>
      <c r="AJ33" s="228">
        <v>186.33206892113049</v>
      </c>
      <c r="AL33" s="228">
        <v>9781.5799964846992</v>
      </c>
      <c r="AM33" s="228">
        <v>93.451587342316998</v>
      </c>
    </row>
    <row r="34" spans="1:39" x14ac:dyDescent="0.25">
      <c r="A34" s="64" t="s">
        <v>120</v>
      </c>
      <c r="B34" s="214" t="s">
        <v>38</v>
      </c>
      <c r="C34" s="215">
        <v>3144</v>
      </c>
      <c r="D34" s="216">
        <v>106</v>
      </c>
      <c r="E34" s="268">
        <v>-9</v>
      </c>
      <c r="F34" s="218">
        <v>0</v>
      </c>
      <c r="G34" s="219">
        <v>2493.1751515055271</v>
      </c>
      <c r="H34" s="220">
        <v>8811.3491258407412</v>
      </c>
      <c r="I34" s="216">
        <v>1844.9496121140901</v>
      </c>
      <c r="J34" s="217">
        <v>5374.9229667628524</v>
      </c>
      <c r="K34" s="234"/>
      <c r="L34" s="221">
        <v>7219.8725788769425</v>
      </c>
      <c r="M34" s="143"/>
      <c r="N34" s="172"/>
      <c r="O34" s="222">
        <v>4424.9247999999998</v>
      </c>
      <c r="P34" s="223">
        <v>2794.9477788769427</v>
      </c>
      <c r="Q34" s="224">
        <v>2187</v>
      </c>
      <c r="R34" s="237">
        <v>7588</v>
      </c>
      <c r="S34" s="145">
        <v>2794.9477788769427</v>
      </c>
      <c r="T34" s="225">
        <v>335</v>
      </c>
      <c r="U34" s="226">
        <v>4653.9247999999998</v>
      </c>
      <c r="V34" s="226">
        <v>2565.9477788769427</v>
      </c>
      <c r="W34" s="227">
        <v>0.5513513623763201</v>
      </c>
      <c r="X34" s="228">
        <v>5350.0752000000002</v>
      </c>
      <c r="Y34" s="228">
        <v>4084.6516984693262</v>
      </c>
      <c r="Z34" s="275">
        <v>-1265.423501530674</v>
      </c>
      <c r="AA34" s="276"/>
      <c r="AB34" s="64" t="s">
        <v>38</v>
      </c>
      <c r="AC34" s="228">
        <v>9084.608080972077</v>
      </c>
      <c r="AD34" s="228">
        <v>273.25895513133582</v>
      </c>
      <c r="AF34" s="228">
        <v>9419.2395983769911</v>
      </c>
      <c r="AG34" s="228">
        <v>607.89047253624994</v>
      </c>
      <c r="AI34" s="228">
        <v>9380.1292168693835</v>
      </c>
      <c r="AJ34" s="228">
        <v>568.78009102864235</v>
      </c>
      <c r="AL34" s="228">
        <v>9327.527731367165</v>
      </c>
      <c r="AM34" s="228">
        <v>516.17860552642378</v>
      </c>
    </row>
    <row r="35" spans="1:39" ht="15.75" thickBot="1" x14ac:dyDescent="0.3">
      <c r="A35" s="64" t="s">
        <v>121</v>
      </c>
      <c r="B35" s="240" t="s">
        <v>39</v>
      </c>
      <c r="C35" s="241">
        <v>3145</v>
      </c>
      <c r="D35" s="242">
        <v>0</v>
      </c>
      <c r="E35" s="247">
        <v>2454</v>
      </c>
      <c r="F35" s="244">
        <v>10044</v>
      </c>
      <c r="G35" s="245">
        <v>8314.3265898507689</v>
      </c>
      <c r="H35" s="246">
        <v>11507.206812032393</v>
      </c>
      <c r="I35" s="242">
        <v>6152.6016764895685</v>
      </c>
      <c r="J35" s="247">
        <v>7019.3961553397594</v>
      </c>
      <c r="K35" s="161"/>
      <c r="L35" s="248">
        <v>13172.19783182933</v>
      </c>
      <c r="M35" s="249">
        <v>300</v>
      </c>
      <c r="N35" s="188"/>
      <c r="O35" s="250">
        <v>13020.123200000002</v>
      </c>
      <c r="P35" s="156">
        <v>152.0746318293277</v>
      </c>
      <c r="Q35" s="251">
        <v>6797</v>
      </c>
      <c r="R35" s="264">
        <v>10686</v>
      </c>
      <c r="S35" s="252">
        <v>152.0746318293277</v>
      </c>
      <c r="T35" s="253">
        <v>6545</v>
      </c>
      <c r="U35" s="249">
        <v>9521.1232000000018</v>
      </c>
      <c r="V35" s="249">
        <v>3651.0746318293277</v>
      </c>
      <c r="W35" s="265">
        <v>0.38347099970614046</v>
      </c>
      <c r="X35" s="228">
        <v>4462.8768</v>
      </c>
      <c r="Y35" s="228">
        <v>6649.3355700538341</v>
      </c>
      <c r="Z35" s="229">
        <v>2186.4587700538341</v>
      </c>
      <c r="AB35" s="64" t="s">
        <v>39</v>
      </c>
      <c r="AC35" s="228">
        <v>11742.627069228945</v>
      </c>
      <c r="AD35" s="228">
        <v>235.42025719655248</v>
      </c>
      <c r="AF35" s="228">
        <v>11673.22948452088</v>
      </c>
      <c r="AG35" s="228">
        <v>166.02267248848693</v>
      </c>
      <c r="AI35" s="228">
        <v>11797.868912285458</v>
      </c>
      <c r="AJ35" s="228">
        <v>290.66210025306464</v>
      </c>
      <c r="AL35" s="228">
        <v>11850.867950855867</v>
      </c>
      <c r="AM35" s="228">
        <v>343.66113882347418</v>
      </c>
    </row>
    <row r="36" spans="1:39" ht="15.75" thickBot="1" x14ac:dyDescent="0.3">
      <c r="B36" s="197" t="s">
        <v>53</v>
      </c>
      <c r="C36" s="198">
        <v>3150</v>
      </c>
      <c r="D36" s="199"/>
      <c r="E36" s="200"/>
      <c r="F36" s="201"/>
      <c r="G36" s="199"/>
      <c r="H36" s="202"/>
      <c r="I36" s="199"/>
      <c r="J36" s="200"/>
      <c r="K36" s="201"/>
      <c r="L36" s="203"/>
      <c r="M36" s="201"/>
      <c r="N36" s="204">
        <v>36596.571512158574</v>
      </c>
      <c r="O36" s="205"/>
      <c r="P36" s="205"/>
      <c r="Q36" s="256"/>
      <c r="R36" s="200"/>
      <c r="S36" s="207"/>
      <c r="T36" s="208">
        <v>47</v>
      </c>
      <c r="U36" s="209">
        <v>47</v>
      </c>
      <c r="V36" s="205"/>
      <c r="W36" s="210"/>
      <c r="X36" s="228"/>
      <c r="Z36" s="228"/>
      <c r="AB36" s="64" t="s">
        <v>53</v>
      </c>
      <c r="AC36" s="228"/>
      <c r="AD36" s="228"/>
      <c r="AF36" s="228"/>
      <c r="AG36" s="228"/>
      <c r="AI36" s="228"/>
      <c r="AJ36" s="228"/>
      <c r="AL36" s="228"/>
      <c r="AM36" s="228"/>
    </row>
    <row r="37" spans="1:39" x14ac:dyDescent="0.25">
      <c r="A37" s="64" t="s">
        <v>122</v>
      </c>
      <c r="B37" s="214" t="s">
        <v>40</v>
      </c>
      <c r="C37" s="215">
        <v>3151</v>
      </c>
      <c r="D37" s="216">
        <v>2848</v>
      </c>
      <c r="E37" s="268">
        <v>-164</v>
      </c>
      <c r="F37" s="218"/>
      <c r="G37" s="219">
        <v>1048.9376893811279</v>
      </c>
      <c r="H37" s="220">
        <v>24768.741251385305</v>
      </c>
      <c r="I37" s="216">
        <v>776.21389014203464</v>
      </c>
      <c r="J37" s="217">
        <v>15108.932163345036</v>
      </c>
      <c r="K37" s="234"/>
      <c r="L37" s="221">
        <v>15885.146053487071</v>
      </c>
      <c r="M37" s="143">
        <v>0</v>
      </c>
      <c r="N37" s="172"/>
      <c r="O37" s="222">
        <v>18052.7304</v>
      </c>
      <c r="P37" s="223">
        <v>-2167.5843465129292</v>
      </c>
      <c r="Q37" s="224">
        <v>539</v>
      </c>
      <c r="R37" s="237">
        <v>25969</v>
      </c>
      <c r="S37" s="145">
        <v>-2167.5843465129292</v>
      </c>
      <c r="T37" s="225">
        <v>4864</v>
      </c>
      <c r="U37" s="226">
        <v>20068.7304</v>
      </c>
      <c r="V37" s="277">
        <v>-4183.5843465129292</v>
      </c>
      <c r="W37" s="278">
        <v>-0.20846283063889925</v>
      </c>
      <c r="X37" s="228">
        <v>8455.2695999999996</v>
      </c>
      <c r="Y37" s="228">
        <v>9932.5328872793616</v>
      </c>
      <c r="Z37" s="229">
        <v>1477.263287279362</v>
      </c>
      <c r="AB37" s="64" t="s">
        <v>40</v>
      </c>
      <c r="AC37" s="228">
        <v>22849.22861316914</v>
      </c>
      <c r="AD37" s="228">
        <v>-1919.5126382161652</v>
      </c>
      <c r="AF37" s="228">
        <v>22408.208183362582</v>
      </c>
      <c r="AG37" s="228">
        <v>-2360.5330680227235</v>
      </c>
      <c r="AI37" s="228">
        <v>22606.403937748753</v>
      </c>
      <c r="AJ37" s="228">
        <v>-2162.3373136365517</v>
      </c>
      <c r="AL37" s="228">
        <v>22777.252215681601</v>
      </c>
      <c r="AM37" s="228">
        <v>-1991.4890357037038</v>
      </c>
    </row>
    <row r="38" spans="1:39" x14ac:dyDescent="0.25">
      <c r="A38" s="64" t="s">
        <v>123</v>
      </c>
      <c r="B38" s="214" t="s">
        <v>41</v>
      </c>
      <c r="C38" s="215">
        <v>3152</v>
      </c>
      <c r="D38" s="216">
        <v>3084</v>
      </c>
      <c r="E38" s="268">
        <v>-1196</v>
      </c>
      <c r="F38" s="218">
        <v>1600</v>
      </c>
      <c r="G38" s="219">
        <v>2524.9901831752372</v>
      </c>
      <c r="H38" s="220">
        <v>9354.6290579065262</v>
      </c>
      <c r="I38" s="216">
        <v>1868.4927355496754</v>
      </c>
      <c r="J38" s="217">
        <v>5706.3237253229809</v>
      </c>
      <c r="K38" s="234"/>
      <c r="L38" s="221">
        <v>7574.8164608726565</v>
      </c>
      <c r="M38" s="143">
        <v>0</v>
      </c>
      <c r="N38" s="172"/>
      <c r="O38" s="222">
        <v>10729.1512</v>
      </c>
      <c r="P38" s="223">
        <v>-3154.3347391273437</v>
      </c>
      <c r="Q38" s="224">
        <v>1976</v>
      </c>
      <c r="R38" s="237">
        <v>11939</v>
      </c>
      <c r="S38" s="145">
        <v>-3154.3347391273437</v>
      </c>
      <c r="T38" s="225">
        <v>3602</v>
      </c>
      <c r="U38" s="226">
        <v>9647.1512000000002</v>
      </c>
      <c r="V38" s="277">
        <v>-2072.3347391273437</v>
      </c>
      <c r="W38" s="278">
        <v>-0.21481312940625868</v>
      </c>
      <c r="X38" s="228">
        <v>3185.8487999999998</v>
      </c>
      <c r="Y38" s="228">
        <v>4304.8027802091074</v>
      </c>
      <c r="Z38" s="229">
        <v>1118.9539802091076</v>
      </c>
      <c r="AB38" s="64" t="s">
        <v>41</v>
      </c>
      <c r="AC38" s="228">
        <v>9706.8200914975241</v>
      </c>
      <c r="AD38" s="228">
        <v>352.1910335909979</v>
      </c>
      <c r="AF38" s="228">
        <v>9912.8596525235498</v>
      </c>
      <c r="AG38" s="228">
        <v>558.2305946170236</v>
      </c>
      <c r="AI38" s="228">
        <v>9804.5059303682647</v>
      </c>
      <c r="AJ38" s="228">
        <v>449.87687246173846</v>
      </c>
      <c r="AL38" s="228">
        <v>9758.3083373470163</v>
      </c>
      <c r="AM38" s="228">
        <v>403.67927944049006</v>
      </c>
    </row>
    <row r="39" spans="1:39" x14ac:dyDescent="0.25">
      <c r="A39" s="64" t="s">
        <v>124</v>
      </c>
      <c r="B39" s="214" t="s">
        <v>8</v>
      </c>
      <c r="C39" s="215">
        <v>3153</v>
      </c>
      <c r="D39" s="216">
        <v>6535</v>
      </c>
      <c r="E39" s="268">
        <v>-5</v>
      </c>
      <c r="F39" s="218"/>
      <c r="G39" s="219">
        <v>2316.2931080902208</v>
      </c>
      <c r="H39" s="220">
        <v>7995.2951603386855</v>
      </c>
      <c r="I39" s="216">
        <v>1714.0568999867635</v>
      </c>
      <c r="J39" s="217">
        <v>4877.1300478065978</v>
      </c>
      <c r="K39" s="234"/>
      <c r="L39" s="221">
        <v>6591.1869477933615</v>
      </c>
      <c r="M39" s="143">
        <v>0</v>
      </c>
      <c r="N39" s="172"/>
      <c r="O39" s="222">
        <v>7264.612000000001</v>
      </c>
      <c r="P39" s="223">
        <v>-673.42505220663952</v>
      </c>
      <c r="Q39" s="224">
        <v>1743</v>
      </c>
      <c r="R39" s="237">
        <v>8815</v>
      </c>
      <c r="S39" s="145">
        <v>-673.42505220663952</v>
      </c>
      <c r="T39" s="225">
        <v>2788</v>
      </c>
      <c r="U39" s="226">
        <v>3517.612000000001</v>
      </c>
      <c r="V39" s="226">
        <v>3073.5749477933605</v>
      </c>
      <c r="W39" s="227">
        <v>0.87376747287459777</v>
      </c>
      <c r="X39" s="228">
        <v>3293.3879999999999</v>
      </c>
      <c r="Y39" s="228">
        <v>3720.4013206355448</v>
      </c>
      <c r="Z39" s="228">
        <v>427.01332063554491</v>
      </c>
      <c r="AB39" s="64" t="s">
        <v>8</v>
      </c>
      <c r="AC39" s="228">
        <v>6819.1506678027399</v>
      </c>
      <c r="AD39" s="228">
        <v>-1176.1444925359456</v>
      </c>
      <c r="AF39" s="228">
        <v>6934.4513970166663</v>
      </c>
      <c r="AG39" s="228">
        <v>-1060.8437633220192</v>
      </c>
      <c r="AI39" s="228">
        <v>6951.2303212952638</v>
      </c>
      <c r="AJ39" s="228">
        <v>-1044.0648390434217</v>
      </c>
      <c r="AL39" s="228">
        <v>6936.6165299545191</v>
      </c>
      <c r="AM39" s="228">
        <v>-1058.6786303841664</v>
      </c>
    </row>
    <row r="40" spans="1:39" ht="15.75" thickBot="1" x14ac:dyDescent="0.3">
      <c r="A40" s="64" t="s">
        <v>76</v>
      </c>
      <c r="B40" s="240" t="s">
        <v>42</v>
      </c>
      <c r="C40" s="241">
        <v>3154</v>
      </c>
      <c r="D40" s="242">
        <v>1887</v>
      </c>
      <c r="E40" s="247"/>
      <c r="F40" s="244"/>
      <c r="G40" s="245">
        <v>539.98721089342405</v>
      </c>
      <c r="H40" s="246">
        <v>10074.477891712053</v>
      </c>
      <c r="I40" s="242">
        <v>399.59053606113378</v>
      </c>
      <c r="J40" s="247">
        <v>6145.4315139443524</v>
      </c>
      <c r="K40" s="161"/>
      <c r="L40" s="248">
        <v>6545.4220500054862</v>
      </c>
      <c r="M40" s="249"/>
      <c r="N40" s="188"/>
      <c r="O40" s="250">
        <v>7798.3816000000006</v>
      </c>
      <c r="P40" s="156">
        <v>-1252.9595499945144</v>
      </c>
      <c r="Q40" s="251">
        <v>462</v>
      </c>
      <c r="R40" s="264">
        <v>10576</v>
      </c>
      <c r="S40" s="252">
        <v>-1252.9595499945144</v>
      </c>
      <c r="T40" s="253">
        <v>1471</v>
      </c>
      <c r="U40" s="249">
        <v>7382.3816000000006</v>
      </c>
      <c r="V40" s="126">
        <v>-836.95954999451442</v>
      </c>
      <c r="W40" s="279">
        <v>-0.11337256665173125</v>
      </c>
      <c r="X40" s="228">
        <v>3239.6183999999998</v>
      </c>
      <c r="Y40" s="228">
        <v>4069.04305259999</v>
      </c>
      <c r="Z40" s="228">
        <v>829.42465259999017</v>
      </c>
      <c r="AB40" s="64" t="s">
        <v>42</v>
      </c>
      <c r="AC40" s="228">
        <v>10360.826690270565</v>
      </c>
      <c r="AD40" s="228">
        <v>286.3487985585125</v>
      </c>
      <c r="AF40" s="228">
        <v>10141.318304451766</v>
      </c>
      <c r="AG40" s="228">
        <v>66.840412739713429</v>
      </c>
      <c r="AI40" s="228">
        <v>10238.390536522431</v>
      </c>
      <c r="AJ40" s="228">
        <v>163.91264481037797</v>
      </c>
      <c r="AL40" s="228">
        <v>10358.156117457524</v>
      </c>
      <c r="AM40" s="228">
        <v>283.67822574547063</v>
      </c>
    </row>
    <row r="41" spans="1:39" ht="15.75" thickBot="1" x14ac:dyDescent="0.3">
      <c r="B41" s="197" t="s">
        <v>11</v>
      </c>
      <c r="C41" s="198"/>
      <c r="D41" s="199"/>
      <c r="E41" s="200"/>
      <c r="F41" s="201"/>
      <c r="G41" s="199"/>
      <c r="H41" s="202"/>
      <c r="I41" s="199"/>
      <c r="J41" s="200"/>
      <c r="K41" s="201"/>
      <c r="L41" s="203"/>
      <c r="M41" s="201"/>
      <c r="N41" s="204">
        <v>23697.734204636508</v>
      </c>
      <c r="O41" s="205"/>
      <c r="P41" s="266"/>
      <c r="Q41" s="256"/>
      <c r="R41" s="200"/>
      <c r="S41" s="207"/>
      <c r="T41" s="208"/>
      <c r="U41" s="209"/>
      <c r="V41" s="205"/>
      <c r="W41" s="210"/>
      <c r="X41" s="228"/>
      <c r="Z41" s="228"/>
      <c r="AB41" s="64" t="s">
        <v>11</v>
      </c>
      <c r="AC41" s="228"/>
      <c r="AD41" s="228"/>
      <c r="AF41" s="228"/>
      <c r="AG41" s="228"/>
      <c r="AI41" s="228"/>
      <c r="AJ41" s="228"/>
      <c r="AL41" s="228"/>
      <c r="AM41" s="228"/>
    </row>
    <row r="42" spans="1:39" x14ac:dyDescent="0.25">
      <c r="B42" s="214" t="s">
        <v>10</v>
      </c>
      <c r="C42" s="215">
        <v>3137</v>
      </c>
      <c r="D42" s="280">
        <v>0</v>
      </c>
      <c r="E42" s="261">
        <v>0</v>
      </c>
      <c r="F42" s="218">
        <v>0</v>
      </c>
      <c r="G42" s="219">
        <v>0</v>
      </c>
      <c r="H42" s="220">
        <v>0</v>
      </c>
      <c r="I42" s="216">
        <v>0</v>
      </c>
      <c r="J42" s="233">
        <v>0</v>
      </c>
      <c r="K42" s="281"/>
      <c r="L42" s="282">
        <v>0</v>
      </c>
      <c r="M42" s="143">
        <v>0</v>
      </c>
      <c r="N42" s="172"/>
      <c r="O42" s="223">
        <v>392</v>
      </c>
      <c r="P42" s="223"/>
      <c r="Q42" s="224">
        <v>1071</v>
      </c>
      <c r="R42" s="237">
        <v>0</v>
      </c>
      <c r="S42" s="283">
        <v>-392</v>
      </c>
      <c r="T42" s="284">
        <v>-604</v>
      </c>
      <c r="U42" s="285">
        <v>-212</v>
      </c>
      <c r="V42" s="286"/>
      <c r="W42" s="227"/>
      <c r="X42" s="259">
        <v>0</v>
      </c>
      <c r="Y42" s="259">
        <v>0</v>
      </c>
      <c r="Z42" s="259">
        <v>0</v>
      </c>
      <c r="AB42" s="64" t="s">
        <v>10</v>
      </c>
      <c r="AC42" s="228"/>
      <c r="AD42" s="228"/>
      <c r="AF42" s="228"/>
      <c r="AG42" s="228"/>
      <c r="AI42" s="228"/>
      <c r="AJ42" s="228"/>
      <c r="AL42" s="228"/>
      <c r="AM42" s="228"/>
    </row>
    <row r="43" spans="1:39" x14ac:dyDescent="0.25">
      <c r="B43" s="214" t="s">
        <v>82</v>
      </c>
      <c r="C43" s="215">
        <v>3701</v>
      </c>
      <c r="D43" s="216">
        <v>0</v>
      </c>
      <c r="E43" s="268">
        <v>-690</v>
      </c>
      <c r="F43" s="218">
        <v>2068</v>
      </c>
      <c r="G43" s="219">
        <v>3517.233736744608</v>
      </c>
      <c r="H43" s="220">
        <v>1967.2131147540983</v>
      </c>
      <c r="I43" s="216">
        <v>2713.7529651910099</v>
      </c>
      <c r="J43" s="217">
        <v>1010.956941007764</v>
      </c>
      <c r="K43" s="234"/>
      <c r="L43" s="221">
        <v>3724.7099061987738</v>
      </c>
      <c r="M43" s="143">
        <v>0</v>
      </c>
      <c r="N43" s="172"/>
      <c r="O43" s="222">
        <v>1050.2759999999998</v>
      </c>
      <c r="P43" s="223">
        <v>2674.4339061987739</v>
      </c>
      <c r="Q43" s="224">
        <v>2865</v>
      </c>
      <c r="R43" s="237">
        <v>0</v>
      </c>
      <c r="S43" s="283">
        <v>2674.4339061987739</v>
      </c>
      <c r="T43" s="284">
        <v>1029</v>
      </c>
      <c r="U43" s="285">
        <v>11.27599999999984</v>
      </c>
      <c r="V43" s="257">
        <v>3713.4339061987739</v>
      </c>
      <c r="W43" s="227"/>
      <c r="X43" s="259">
        <v>1814.7239999999999</v>
      </c>
      <c r="Y43" s="259">
        <v>1759.7369452999328</v>
      </c>
      <c r="Z43" s="259">
        <v>-54.987054700067119</v>
      </c>
      <c r="AB43" s="64" t="s">
        <v>82</v>
      </c>
      <c r="AC43" s="228">
        <v>0</v>
      </c>
      <c r="AD43" s="228">
        <v>-1967.2131147540983</v>
      </c>
      <c r="AF43" s="228">
        <v>0</v>
      </c>
      <c r="AG43" s="228">
        <v>-1967.2131147540983</v>
      </c>
      <c r="AI43" s="228">
        <v>0</v>
      </c>
      <c r="AJ43" s="228">
        <v>-1967.2131147540983</v>
      </c>
      <c r="AL43" s="228">
        <v>0</v>
      </c>
      <c r="AM43" s="228">
        <v>-1967.2131147540983</v>
      </c>
    </row>
    <row r="44" spans="1:39" x14ac:dyDescent="0.25">
      <c r="B44" s="214" t="s">
        <v>12</v>
      </c>
      <c r="C44" s="215">
        <v>3702</v>
      </c>
      <c r="D44" s="216">
        <v>0</v>
      </c>
      <c r="E44" s="217">
        <v>21</v>
      </c>
      <c r="F44" s="218">
        <v>3318</v>
      </c>
      <c r="G44" s="219">
        <v>6874.6532274392484</v>
      </c>
      <c r="H44" s="220">
        <v>1918.032786885246</v>
      </c>
      <c r="I44" s="216">
        <v>5087.2433883050435</v>
      </c>
      <c r="J44" s="217">
        <v>1017.4599621358165</v>
      </c>
      <c r="K44" s="234"/>
      <c r="L44" s="221">
        <v>6104.3033504408604</v>
      </c>
      <c r="M44" s="143">
        <v>0</v>
      </c>
      <c r="N44" s="172"/>
      <c r="O44" s="222">
        <v>2958.3312000000001</v>
      </c>
      <c r="P44" s="223">
        <v>3145.9721504408603</v>
      </c>
      <c r="Q44" s="224">
        <v>5136</v>
      </c>
      <c r="R44" s="237">
        <v>0</v>
      </c>
      <c r="S44" s="283">
        <v>3145.9721504408603</v>
      </c>
      <c r="T44" s="284">
        <v>0</v>
      </c>
      <c r="U44" s="285">
        <v>-359.66879999999992</v>
      </c>
      <c r="V44" s="257">
        <v>6463.9721504408608</v>
      </c>
      <c r="W44" s="227"/>
      <c r="X44" s="259">
        <v>2177.6687999999999</v>
      </c>
      <c r="Y44" s="259">
        <v>2688.3826638836335</v>
      </c>
      <c r="Z44" s="259">
        <v>510.71386388363362</v>
      </c>
      <c r="AB44" s="64" t="s">
        <v>12</v>
      </c>
      <c r="AC44" s="228">
        <v>0</v>
      </c>
      <c r="AD44" s="228">
        <v>-1918.032786885246</v>
      </c>
      <c r="AF44" s="228">
        <v>0</v>
      </c>
      <c r="AG44" s="228">
        <v>-1918.032786885246</v>
      </c>
      <c r="AI44" s="228">
        <v>0</v>
      </c>
      <c r="AJ44" s="228">
        <v>-1918.032786885246</v>
      </c>
      <c r="AL44" s="228">
        <v>0</v>
      </c>
      <c r="AM44" s="228">
        <v>-1918.032786885246</v>
      </c>
    </row>
    <row r="45" spans="1:39" x14ac:dyDescent="0.25">
      <c r="B45" s="214" t="s">
        <v>25</v>
      </c>
      <c r="C45" s="215">
        <v>3703</v>
      </c>
      <c r="D45" s="280">
        <v>0</v>
      </c>
      <c r="E45" s="268">
        <v>-308</v>
      </c>
      <c r="F45" s="218">
        <v>0</v>
      </c>
      <c r="G45" s="219">
        <v>9432.1119952399185</v>
      </c>
      <c r="H45" s="220">
        <v>0</v>
      </c>
      <c r="I45" s="216">
        <v>6979.76287647754</v>
      </c>
      <c r="J45" s="261">
        <v>-0.28687939494056991</v>
      </c>
      <c r="K45" s="234"/>
      <c r="L45" s="282">
        <v>6979.8759970825995</v>
      </c>
      <c r="M45" s="143">
        <v>0</v>
      </c>
      <c r="N45" s="172"/>
      <c r="O45" s="222">
        <v>2589.7039999999997</v>
      </c>
      <c r="P45" s="223">
        <v>4390.1719970825998</v>
      </c>
      <c r="Q45" s="224">
        <v>6488</v>
      </c>
      <c r="R45" s="237">
        <v>0</v>
      </c>
      <c r="S45" s="283">
        <v>4390.1719970825998</v>
      </c>
      <c r="T45" s="284">
        <v>57</v>
      </c>
      <c r="U45" s="285">
        <v>2646.7039999999997</v>
      </c>
      <c r="V45" s="257">
        <v>4333.1719970825998</v>
      </c>
      <c r="W45" s="227"/>
      <c r="X45" s="259">
        <v>3898.2960000000003</v>
      </c>
      <c r="Y45" s="259">
        <v>2452.235998157319</v>
      </c>
      <c r="Z45" s="259">
        <v>-1446.0600018426812</v>
      </c>
      <c r="AB45" s="64" t="s">
        <v>25</v>
      </c>
      <c r="AC45" s="228">
        <v>0</v>
      </c>
      <c r="AD45" s="228">
        <v>0</v>
      </c>
      <c r="AF45" s="228">
        <v>0</v>
      </c>
      <c r="AG45" s="228">
        <v>0</v>
      </c>
      <c r="AI45" s="228">
        <v>0</v>
      </c>
      <c r="AJ45" s="228">
        <v>0</v>
      </c>
      <c r="AL45" s="228">
        <v>0</v>
      </c>
      <c r="AM45" s="228">
        <v>0</v>
      </c>
    </row>
    <row r="46" spans="1:39" x14ac:dyDescent="0.25">
      <c r="B46" s="214" t="s">
        <v>13</v>
      </c>
      <c r="C46" s="215">
        <v>3704</v>
      </c>
      <c r="D46" s="280">
        <v>0</v>
      </c>
      <c r="E46" s="268">
        <v>0</v>
      </c>
      <c r="F46" s="234">
        <v>1481</v>
      </c>
      <c r="G46" s="219">
        <v>3046.5388032051555</v>
      </c>
      <c r="H46" s="220">
        <v>2342.622950819672</v>
      </c>
      <c r="I46" s="216">
        <v>2254.438714371815</v>
      </c>
      <c r="J46" s="217">
        <v>1059.4010784222896</v>
      </c>
      <c r="K46" s="234"/>
      <c r="L46" s="221">
        <v>3313.4397927941045</v>
      </c>
      <c r="M46" s="143">
        <v>0</v>
      </c>
      <c r="N46" s="172"/>
      <c r="O46" s="222">
        <v>62</v>
      </c>
      <c r="P46" s="223">
        <v>3251.4397927941045</v>
      </c>
      <c r="Q46" s="224">
        <v>2909</v>
      </c>
      <c r="R46" s="237">
        <v>0</v>
      </c>
      <c r="S46" s="283">
        <v>3251.4397927941045</v>
      </c>
      <c r="T46" s="284">
        <v>58</v>
      </c>
      <c r="U46" s="285">
        <v>-1361</v>
      </c>
      <c r="V46" s="257">
        <v>4674.4397927941045</v>
      </c>
      <c r="W46" s="227"/>
      <c r="X46" s="259">
        <v>3105.1943999999999</v>
      </c>
      <c r="Y46" s="259">
        <v>2075.7219612307235</v>
      </c>
      <c r="Z46" s="259">
        <v>-1029.4724387692763</v>
      </c>
      <c r="AA46" s="64" t="s">
        <v>11</v>
      </c>
      <c r="AB46" s="64" t="s">
        <v>13</v>
      </c>
      <c r="AC46" s="228">
        <v>0</v>
      </c>
      <c r="AD46" s="228">
        <v>-2342.622950819672</v>
      </c>
      <c r="AF46" s="228">
        <v>0</v>
      </c>
      <c r="AG46" s="228">
        <v>-2342.622950819672</v>
      </c>
      <c r="AI46" s="228">
        <v>0</v>
      </c>
      <c r="AJ46" s="228">
        <v>-2342.622950819672</v>
      </c>
      <c r="AL46" s="228">
        <v>0</v>
      </c>
      <c r="AM46" s="228">
        <v>-2342.622950819672</v>
      </c>
    </row>
    <row r="47" spans="1:39" ht="15.75" thickBot="1" x14ac:dyDescent="0.3">
      <c r="B47" s="240" t="s">
        <v>14</v>
      </c>
      <c r="C47" s="241">
        <v>3705</v>
      </c>
      <c r="D47" s="242">
        <v>0</v>
      </c>
      <c r="E47" s="247">
        <v>23</v>
      </c>
      <c r="F47" s="161">
        <v>1445</v>
      </c>
      <c r="G47" s="245">
        <v>4981.4003517447327</v>
      </c>
      <c r="H47" s="246">
        <v>0</v>
      </c>
      <c r="I47" s="242">
        <v>3575.2362602911021</v>
      </c>
      <c r="J47" s="243">
        <v>0.46889782907037159</v>
      </c>
      <c r="K47" s="161"/>
      <c r="L47" s="248">
        <v>3575.4051581201725</v>
      </c>
      <c r="M47" s="249">
        <v>0</v>
      </c>
      <c r="N47" s="188"/>
      <c r="O47" s="250">
        <v>2806</v>
      </c>
      <c r="P47" s="270">
        <v>769.40515812017247</v>
      </c>
      <c r="Q47" s="251">
        <v>4173</v>
      </c>
      <c r="R47" s="264">
        <v>0</v>
      </c>
      <c r="S47" s="287">
        <v>769.40515812017247</v>
      </c>
      <c r="T47" s="288">
        <v>139</v>
      </c>
      <c r="U47" s="289">
        <v>1500</v>
      </c>
      <c r="V47" s="254">
        <v>2075.4051581201725</v>
      </c>
      <c r="W47" s="265"/>
      <c r="X47" s="259">
        <v>1505.5488</v>
      </c>
      <c r="Y47" s="259">
        <v>1405.9951936245602</v>
      </c>
      <c r="Z47" s="259">
        <v>-99.553606375439813</v>
      </c>
      <c r="AA47" s="64" t="s">
        <v>100</v>
      </c>
      <c r="AB47" s="64" t="s">
        <v>14</v>
      </c>
      <c r="AC47" s="228">
        <v>1181.4056978278356</v>
      </c>
      <c r="AD47" s="228">
        <v>1181.4056978278356</v>
      </c>
      <c r="AF47" s="228">
        <v>1322.6192853153218</v>
      </c>
      <c r="AG47" s="228">
        <v>1322.6192853153218</v>
      </c>
      <c r="AI47" s="228">
        <v>1255.6728407475266</v>
      </c>
      <c r="AJ47" s="228">
        <v>1255.6728407475266</v>
      </c>
      <c r="AL47" s="228">
        <v>1214.62908638978</v>
      </c>
      <c r="AM47" s="228">
        <v>1214.62908638978</v>
      </c>
    </row>
    <row r="48" spans="1:39" ht="15.75" thickBot="1" x14ac:dyDescent="0.3">
      <c r="B48" s="197" t="s">
        <v>23</v>
      </c>
      <c r="C48" s="198"/>
      <c r="D48" s="199"/>
      <c r="E48" s="200"/>
      <c r="F48" s="201"/>
      <c r="G48" s="199"/>
      <c r="H48" s="202"/>
      <c r="I48" s="199"/>
      <c r="J48" s="200"/>
      <c r="K48" s="201"/>
      <c r="L48" s="203"/>
      <c r="M48" s="201"/>
      <c r="N48" s="204">
        <v>41747.374746071466</v>
      </c>
      <c r="O48" s="205"/>
      <c r="P48" s="205"/>
      <c r="Q48" s="256"/>
      <c r="R48" s="200"/>
      <c r="S48" s="290"/>
      <c r="T48" s="291"/>
      <c r="U48" s="292"/>
      <c r="V48" s="293"/>
      <c r="W48" s="210"/>
      <c r="X48" s="259">
        <v>12501.432000000001</v>
      </c>
      <c r="Y48" s="259">
        <v>10382.072762196169</v>
      </c>
      <c r="Z48" s="259">
        <v>-2119.3592378038311</v>
      </c>
      <c r="AA48" s="228">
        <v>359.50945963197319</v>
      </c>
      <c r="AB48" s="64" t="s">
        <v>23</v>
      </c>
      <c r="AC48" s="228"/>
      <c r="AD48" s="228"/>
      <c r="AF48" s="228"/>
      <c r="AG48" s="228"/>
      <c r="AI48" s="228"/>
      <c r="AJ48" s="228"/>
      <c r="AL48" s="228"/>
      <c r="AM48" s="228"/>
    </row>
    <row r="49" spans="2:39" x14ac:dyDescent="0.25">
      <c r="B49" s="214" t="s">
        <v>15</v>
      </c>
      <c r="C49" s="215">
        <v>3720</v>
      </c>
      <c r="D49" s="232">
        <v>7218</v>
      </c>
      <c r="E49" s="274">
        <v>-215</v>
      </c>
      <c r="F49" s="218">
        <v>2000</v>
      </c>
      <c r="G49" s="219">
        <v>0</v>
      </c>
      <c r="H49" s="220">
        <v>0</v>
      </c>
      <c r="I49" s="216">
        <v>0</v>
      </c>
      <c r="J49" s="217">
        <v>0</v>
      </c>
      <c r="K49" s="234"/>
      <c r="L49" s="221">
        <v>0</v>
      </c>
      <c r="M49" s="143"/>
      <c r="N49" s="172"/>
      <c r="O49" s="222">
        <v>308.92159999999967</v>
      </c>
      <c r="P49" s="223">
        <v>-308.92159999999967</v>
      </c>
      <c r="Q49" s="224">
        <v>524</v>
      </c>
      <c r="R49" s="237"/>
      <c r="S49" s="283">
        <v>-308.92159999999967</v>
      </c>
      <c r="T49" s="294">
        <v>5927</v>
      </c>
      <c r="U49" s="285">
        <v>-2982.0784000000003</v>
      </c>
      <c r="V49" s="267">
        <v>2982.0784000000003</v>
      </c>
      <c r="W49" s="227"/>
      <c r="X49" s="259">
        <v>215.07840000000002</v>
      </c>
      <c r="Y49" s="259">
        <v>0</v>
      </c>
      <c r="Z49" s="259">
        <v>-215.07840000000002</v>
      </c>
      <c r="AB49" s="64" t="s">
        <v>15</v>
      </c>
      <c r="AC49" s="228"/>
      <c r="AD49" s="228"/>
      <c r="AF49" s="228"/>
      <c r="AG49" s="228"/>
      <c r="AI49" s="228"/>
      <c r="AJ49" s="228"/>
      <c r="AL49" s="228"/>
      <c r="AM49" s="228"/>
    </row>
    <row r="50" spans="2:39" x14ac:dyDescent="0.25">
      <c r="B50" s="214" t="s">
        <v>16</v>
      </c>
      <c r="C50" s="215">
        <v>3721</v>
      </c>
      <c r="D50" s="216">
        <v>902</v>
      </c>
      <c r="E50" s="217">
        <v>500</v>
      </c>
      <c r="F50" s="218">
        <v>1000</v>
      </c>
      <c r="G50" s="219">
        <v>6053.2768411475627</v>
      </c>
      <c r="H50" s="220">
        <v>587</v>
      </c>
      <c r="I50" s="216">
        <v>4479.4248624491966</v>
      </c>
      <c r="J50" s="217">
        <v>358.07</v>
      </c>
      <c r="K50" s="234"/>
      <c r="L50" s="221">
        <v>4837.4948624491963</v>
      </c>
      <c r="M50" s="143"/>
      <c r="N50" s="172"/>
      <c r="O50" s="222">
        <v>3278.6120000000001</v>
      </c>
      <c r="P50" s="223">
        <v>1558.8828624491962</v>
      </c>
      <c r="Q50" s="224">
        <v>5954</v>
      </c>
      <c r="R50" s="237">
        <v>618</v>
      </c>
      <c r="S50" s="283">
        <v>1558.8828624491962</v>
      </c>
      <c r="T50" s="284">
        <v>871</v>
      </c>
      <c r="U50" s="285">
        <v>2247.6120000000001</v>
      </c>
      <c r="V50" s="267">
        <v>2589.8828624491962</v>
      </c>
      <c r="W50" s="227"/>
      <c r="X50" s="259">
        <v>3293.3879999999999</v>
      </c>
      <c r="Y50" s="259">
        <v>1802.7819786983664</v>
      </c>
      <c r="Z50" s="259">
        <v>-1490.6060213016335</v>
      </c>
      <c r="AB50" s="64" t="s">
        <v>16</v>
      </c>
      <c r="AC50" s="228">
        <v>0</v>
      </c>
      <c r="AD50" s="228">
        <v>-587</v>
      </c>
      <c r="AF50" s="228">
        <v>0</v>
      </c>
      <c r="AG50" s="228">
        <v>-587</v>
      </c>
      <c r="AI50" s="228">
        <v>0</v>
      </c>
      <c r="AJ50" s="228">
        <v>-587</v>
      </c>
      <c r="AL50" s="228">
        <v>0</v>
      </c>
      <c r="AM50" s="228">
        <v>-587</v>
      </c>
    </row>
    <row r="51" spans="2:39" x14ac:dyDescent="0.25">
      <c r="B51" s="214" t="s">
        <v>17</v>
      </c>
      <c r="C51" s="215">
        <v>3722</v>
      </c>
      <c r="D51" s="216">
        <v>1261</v>
      </c>
      <c r="E51" s="217">
        <v>850</v>
      </c>
      <c r="F51" s="218">
        <v>3000</v>
      </c>
      <c r="G51" s="219">
        <v>18851.139637843469</v>
      </c>
      <c r="H51" s="220">
        <v>637</v>
      </c>
      <c r="I51" s="216">
        <v>13949.843332004168</v>
      </c>
      <c r="J51" s="217">
        <v>388.57</v>
      </c>
      <c r="K51" s="234"/>
      <c r="L51" s="221">
        <v>14338.613332004168</v>
      </c>
      <c r="M51" s="143"/>
      <c r="N51" s="172"/>
      <c r="O51" s="222">
        <v>16100.801599999999</v>
      </c>
      <c r="P51" s="223">
        <v>-1762.1882679958308</v>
      </c>
      <c r="Q51" s="224">
        <v>15683</v>
      </c>
      <c r="R51" s="237">
        <v>1305</v>
      </c>
      <c r="S51" s="283">
        <v>-1762.1882679958308</v>
      </c>
      <c r="T51" s="284">
        <v>457</v>
      </c>
      <c r="U51" s="285">
        <v>12296.801599999999</v>
      </c>
      <c r="V51" s="267">
        <v>2041.8117320041692</v>
      </c>
      <c r="W51" s="227"/>
      <c r="X51" s="259">
        <v>887.19839999999999</v>
      </c>
      <c r="Y51" s="259">
        <v>5149.5263058393011</v>
      </c>
      <c r="Z51" s="259">
        <v>4262.3279058393009</v>
      </c>
      <c r="AB51" s="64" t="s">
        <v>17</v>
      </c>
      <c r="AC51" s="228">
        <v>0</v>
      </c>
      <c r="AD51" s="228">
        <v>-637</v>
      </c>
      <c r="AF51" s="228">
        <v>0</v>
      </c>
      <c r="AG51" s="228">
        <v>-637</v>
      </c>
      <c r="AI51" s="228">
        <v>0</v>
      </c>
      <c r="AJ51" s="228">
        <v>-637</v>
      </c>
      <c r="AL51" s="228">
        <v>0</v>
      </c>
      <c r="AM51" s="228">
        <v>-637</v>
      </c>
    </row>
    <row r="52" spans="2:39" x14ac:dyDescent="0.25">
      <c r="B52" s="214" t="s">
        <v>18</v>
      </c>
      <c r="C52" s="215">
        <v>3723</v>
      </c>
      <c r="D52" s="216">
        <v>1930</v>
      </c>
      <c r="E52" s="217">
        <v>0</v>
      </c>
      <c r="F52" s="234">
        <v>9372</v>
      </c>
      <c r="G52" s="219">
        <v>8710.4636541183972</v>
      </c>
      <c r="H52" s="220">
        <v>91</v>
      </c>
      <c r="I52" s="216">
        <v>6445.743104047614</v>
      </c>
      <c r="J52" s="217">
        <v>55.51</v>
      </c>
      <c r="K52" s="234"/>
      <c r="L52" s="221">
        <v>6501.5531040476144</v>
      </c>
      <c r="M52" s="143"/>
      <c r="N52" s="172"/>
      <c r="O52" s="222">
        <v>6951.4928</v>
      </c>
      <c r="P52" s="223">
        <v>-449.93969595238559</v>
      </c>
      <c r="Q52" s="224">
        <v>7558</v>
      </c>
      <c r="R52" s="237">
        <v>442</v>
      </c>
      <c r="S52" s="283">
        <v>-449.93969595238559</v>
      </c>
      <c r="T52" s="284">
        <v>3613</v>
      </c>
      <c r="U52" s="285">
        <v>-737.50720000000001</v>
      </c>
      <c r="V52" s="267">
        <v>7239.0603040476144</v>
      </c>
      <c r="W52" s="227"/>
      <c r="X52" s="259">
        <v>1048.5072</v>
      </c>
      <c r="Y52" s="259">
        <v>2299.9105500707828</v>
      </c>
      <c r="Z52" s="259">
        <v>1251.4033500707828</v>
      </c>
      <c r="AB52" s="64" t="s">
        <v>18</v>
      </c>
      <c r="AC52" s="228">
        <v>0</v>
      </c>
      <c r="AD52" s="228">
        <v>-91</v>
      </c>
      <c r="AF52" s="228">
        <v>0</v>
      </c>
      <c r="AG52" s="228">
        <v>-91</v>
      </c>
      <c r="AI52" s="228">
        <v>0</v>
      </c>
      <c r="AJ52" s="228">
        <v>-91</v>
      </c>
      <c r="AL52" s="228">
        <v>0</v>
      </c>
      <c r="AM52" s="228">
        <v>-91</v>
      </c>
    </row>
    <row r="53" spans="2:39" x14ac:dyDescent="0.25">
      <c r="B53" s="214" t="s">
        <v>19</v>
      </c>
      <c r="C53" s="215">
        <v>3724</v>
      </c>
      <c r="D53" s="216">
        <v>2138</v>
      </c>
      <c r="E53" s="217">
        <v>0</v>
      </c>
      <c r="F53" s="218">
        <v>7000</v>
      </c>
      <c r="G53" s="219">
        <v>5991.6132945887766</v>
      </c>
      <c r="H53" s="220">
        <v>630</v>
      </c>
      <c r="I53" s="216">
        <v>4433.793837995695</v>
      </c>
      <c r="J53" s="217">
        <v>384.3</v>
      </c>
      <c r="K53" s="234"/>
      <c r="L53" s="221">
        <v>4818.0938379956951</v>
      </c>
      <c r="M53" s="143"/>
      <c r="N53" s="172"/>
      <c r="O53" s="222">
        <v>5882.3407999999999</v>
      </c>
      <c r="P53" s="223">
        <v>-1064.2469620043048</v>
      </c>
      <c r="Q53" s="224">
        <v>5682</v>
      </c>
      <c r="R53" s="237">
        <v>980</v>
      </c>
      <c r="S53" s="283">
        <v>-1064.2469620043048</v>
      </c>
      <c r="T53" s="284">
        <v>1802</v>
      </c>
      <c r="U53" s="285">
        <v>-1453.6592000000001</v>
      </c>
      <c r="V53" s="267">
        <v>6271.7530379956952</v>
      </c>
      <c r="W53" s="227"/>
      <c r="X53" s="259">
        <v>779.65919999999994</v>
      </c>
      <c r="Y53" s="259">
        <v>1803.5194565930815</v>
      </c>
      <c r="Z53" s="259">
        <v>1023.8602565930815</v>
      </c>
      <c r="AB53" s="64" t="s">
        <v>19</v>
      </c>
      <c r="AC53" s="228">
        <v>0</v>
      </c>
      <c r="AD53" s="228">
        <v>-630</v>
      </c>
      <c r="AF53" s="228">
        <v>0</v>
      </c>
      <c r="AG53" s="228">
        <v>-630</v>
      </c>
      <c r="AI53" s="228">
        <v>0</v>
      </c>
      <c r="AJ53" s="228">
        <v>-630</v>
      </c>
      <c r="AL53" s="228">
        <v>0</v>
      </c>
      <c r="AM53" s="228">
        <v>-630</v>
      </c>
    </row>
    <row r="54" spans="2:39" x14ac:dyDescent="0.25">
      <c r="B54" s="214" t="s">
        <v>20</v>
      </c>
      <c r="C54" s="215">
        <v>3725</v>
      </c>
      <c r="D54" s="216">
        <v>1087</v>
      </c>
      <c r="E54" s="217">
        <v>0</v>
      </c>
      <c r="F54" s="234">
        <v>2000</v>
      </c>
      <c r="G54" s="219">
        <v>4862.1270865309161</v>
      </c>
      <c r="H54" s="220">
        <v>1184</v>
      </c>
      <c r="I54" s="216">
        <v>3597.9740440328778</v>
      </c>
      <c r="J54" s="217">
        <v>722.24</v>
      </c>
      <c r="K54" s="234"/>
      <c r="L54" s="221">
        <v>4320.2140440328776</v>
      </c>
      <c r="M54" s="143"/>
      <c r="N54" s="172"/>
      <c r="O54" s="222">
        <v>4033.1887999999999</v>
      </c>
      <c r="P54" s="223">
        <v>287.02524403287771</v>
      </c>
      <c r="Q54" s="224">
        <v>3662</v>
      </c>
      <c r="R54" s="237">
        <v>882</v>
      </c>
      <c r="S54" s="283">
        <v>287.02524403287771</v>
      </c>
      <c r="T54" s="284">
        <v>52</v>
      </c>
      <c r="U54" s="285">
        <v>998.1887999999999</v>
      </c>
      <c r="V54" s="267">
        <v>3322.0252440328777</v>
      </c>
      <c r="W54" s="227"/>
      <c r="X54" s="259">
        <v>510.81119999999999</v>
      </c>
      <c r="Y54" s="259">
        <v>1725.9130424980385</v>
      </c>
      <c r="Z54" s="259">
        <v>1215.1018424980384</v>
      </c>
      <c r="AA54" s="64" t="s">
        <v>23</v>
      </c>
      <c r="AB54" s="64" t="s">
        <v>20</v>
      </c>
      <c r="AC54" s="228">
        <v>0</v>
      </c>
      <c r="AD54" s="228">
        <v>-1184</v>
      </c>
      <c r="AF54" s="228">
        <v>0</v>
      </c>
      <c r="AG54" s="228">
        <v>-1184</v>
      </c>
      <c r="AI54" s="228">
        <v>0</v>
      </c>
      <c r="AJ54" s="228">
        <v>-1184</v>
      </c>
      <c r="AL54" s="228">
        <v>0</v>
      </c>
      <c r="AM54" s="228">
        <v>-1184</v>
      </c>
    </row>
    <row r="55" spans="2:39" ht="15.75" thickBot="1" x14ac:dyDescent="0.3">
      <c r="B55" s="240" t="s">
        <v>21</v>
      </c>
      <c r="C55" s="241">
        <v>3726</v>
      </c>
      <c r="D55" s="242">
        <v>1433</v>
      </c>
      <c r="E55" s="247">
        <v>359</v>
      </c>
      <c r="F55" s="161">
        <v>7000</v>
      </c>
      <c r="G55" s="245">
        <v>7572.2102237052895</v>
      </c>
      <c r="H55" s="246">
        <v>2177</v>
      </c>
      <c r="I55" s="242">
        <v>5603.435565541914</v>
      </c>
      <c r="J55" s="247">
        <v>1327.97</v>
      </c>
      <c r="K55" s="161"/>
      <c r="L55" s="248">
        <v>6931.4055655419143</v>
      </c>
      <c r="M55" s="249"/>
      <c r="N55" s="188"/>
      <c r="O55" s="250">
        <v>9939</v>
      </c>
      <c r="P55" s="156">
        <v>-3007.5944344580857</v>
      </c>
      <c r="Q55" s="251">
        <v>7139</v>
      </c>
      <c r="R55" s="264">
        <v>2800</v>
      </c>
      <c r="S55" s="287">
        <v>-3007.5944344580857</v>
      </c>
      <c r="T55" s="288">
        <v>1120</v>
      </c>
      <c r="U55" s="289">
        <v>2626</v>
      </c>
      <c r="V55" s="295">
        <v>4305.4055655419143</v>
      </c>
      <c r="W55" s="265"/>
      <c r="X55" s="259">
        <v>0</v>
      </c>
      <c r="Y55" s="259">
        <v>2817.8046581633753</v>
      </c>
      <c r="Z55" s="259">
        <v>2817.8046581633753</v>
      </c>
      <c r="AA55" s="64" t="s">
        <v>101</v>
      </c>
      <c r="AB55" s="64" t="s">
        <v>21</v>
      </c>
      <c r="AC55" s="228">
        <v>0</v>
      </c>
      <c r="AD55" s="228">
        <v>-2177</v>
      </c>
      <c r="AF55" s="228">
        <v>0</v>
      </c>
      <c r="AG55" s="228">
        <v>-2177</v>
      </c>
      <c r="AI55" s="228">
        <v>0</v>
      </c>
      <c r="AJ55" s="228">
        <v>-2177</v>
      </c>
      <c r="AL55" s="228">
        <v>0</v>
      </c>
      <c r="AM55" s="228">
        <v>-2177</v>
      </c>
    </row>
    <row r="56" spans="2:39" hidden="1" x14ac:dyDescent="0.25">
      <c r="B56" s="296"/>
      <c r="C56" s="297"/>
      <c r="D56" s="298"/>
      <c r="E56" s="299"/>
      <c r="F56" s="300"/>
      <c r="G56" s="298"/>
      <c r="H56" s="301"/>
      <c r="I56" s="298"/>
      <c r="J56" s="299"/>
      <c r="K56" s="300"/>
      <c r="L56" s="302"/>
      <c r="M56" s="300"/>
      <c r="N56" s="303"/>
      <c r="O56" s="266"/>
      <c r="P56" s="266"/>
      <c r="Q56" s="304"/>
      <c r="R56" s="299"/>
      <c r="S56" s="305"/>
      <c r="T56" s="306"/>
      <c r="U56" s="307"/>
      <c r="V56" s="308"/>
      <c r="W56" s="210"/>
      <c r="X56" s="260"/>
      <c r="Y56" s="259">
        <v>0</v>
      </c>
      <c r="Z56" s="260"/>
      <c r="AC56" s="64">
        <v>0</v>
      </c>
      <c r="AF56" s="228">
        <v>0</v>
      </c>
      <c r="AI56" s="228">
        <v>0</v>
      </c>
      <c r="AJ56" s="228">
        <v>0</v>
      </c>
      <c r="AM56" s="228">
        <v>0</v>
      </c>
    </row>
    <row r="57" spans="2:39" hidden="1" x14ac:dyDescent="0.25">
      <c r="B57" s="309" t="s">
        <v>60</v>
      </c>
      <c r="C57" s="231"/>
      <c r="D57" s="216"/>
      <c r="E57" s="217"/>
      <c r="F57" s="234"/>
      <c r="G57" s="310">
        <v>-4.3708097655326128E-4</v>
      </c>
      <c r="H57" s="220"/>
      <c r="I57" s="311">
        <v>-3.2343992264941332E-4</v>
      </c>
      <c r="J57" s="217"/>
      <c r="K57" s="234"/>
      <c r="L57" s="221"/>
      <c r="M57" s="143"/>
      <c r="N57" s="303"/>
      <c r="O57" s="222"/>
      <c r="P57" s="222"/>
      <c r="Q57" s="224"/>
      <c r="R57" s="237"/>
      <c r="S57" s="145"/>
      <c r="T57" s="225"/>
      <c r="U57" s="226"/>
      <c r="V57" s="226"/>
      <c r="W57" s="227"/>
      <c r="X57" s="260"/>
      <c r="Y57" s="259">
        <v>-4.3708097655326128E-4</v>
      </c>
      <c r="Z57" s="260"/>
      <c r="AC57" s="64">
        <v>0</v>
      </c>
      <c r="AF57" s="228">
        <v>0</v>
      </c>
      <c r="AI57" s="228">
        <v>0</v>
      </c>
      <c r="AJ57" s="228">
        <v>0</v>
      </c>
      <c r="AM57" s="228">
        <v>0</v>
      </c>
    </row>
    <row r="58" spans="2:39" hidden="1" x14ac:dyDescent="0.25">
      <c r="B58" s="296"/>
      <c r="C58" s="297"/>
      <c r="D58" s="298"/>
      <c r="E58" s="299"/>
      <c r="F58" s="300"/>
      <c r="G58" s="298"/>
      <c r="H58" s="301"/>
      <c r="I58" s="298"/>
      <c r="J58" s="299"/>
      <c r="K58" s="300"/>
      <c r="L58" s="302"/>
      <c r="M58" s="300"/>
      <c r="N58" s="312"/>
      <c r="O58" s="266"/>
      <c r="P58" s="313"/>
      <c r="Q58" s="304"/>
      <c r="R58" s="299"/>
      <c r="S58" s="305"/>
      <c r="T58" s="306"/>
      <c r="U58" s="307"/>
      <c r="V58" s="314"/>
      <c r="W58" s="315"/>
      <c r="X58" s="260"/>
      <c r="Y58" s="259">
        <v>0</v>
      </c>
      <c r="Z58" s="260"/>
      <c r="AC58" s="64">
        <v>0</v>
      </c>
      <c r="AF58" s="228">
        <v>0</v>
      </c>
      <c r="AI58" s="228">
        <v>0</v>
      </c>
      <c r="AJ58" s="228">
        <v>0</v>
      </c>
      <c r="AM58" s="228">
        <v>0</v>
      </c>
    </row>
    <row r="59" spans="2:39" hidden="1" x14ac:dyDescent="0.25">
      <c r="B59" s="316" t="s">
        <v>24</v>
      </c>
      <c r="C59" s="215">
        <v>3740</v>
      </c>
      <c r="D59" s="273">
        <v>1383</v>
      </c>
      <c r="E59" s="274">
        <v>-272</v>
      </c>
      <c r="F59" s="281"/>
      <c r="G59" s="317" t="s">
        <v>51</v>
      </c>
      <c r="H59" s="318" t="s">
        <v>51</v>
      </c>
      <c r="I59" s="319" t="s">
        <v>51</v>
      </c>
      <c r="J59" s="320" t="s">
        <v>51</v>
      </c>
      <c r="K59" s="321"/>
      <c r="L59" s="322" t="s">
        <v>51</v>
      </c>
      <c r="M59" s="323" t="s">
        <v>51</v>
      </c>
      <c r="N59" s="172"/>
      <c r="O59" s="222">
        <v>0</v>
      </c>
      <c r="P59" s="222"/>
      <c r="Q59" s="324" t="s">
        <v>51</v>
      </c>
      <c r="R59" s="320" t="s">
        <v>51</v>
      </c>
      <c r="S59" s="145"/>
      <c r="T59" s="294">
        <v>2796</v>
      </c>
      <c r="U59" s="285">
        <v>1413</v>
      </c>
      <c r="V59" s="226"/>
      <c r="W59" s="148"/>
      <c r="X59" s="260"/>
      <c r="Y59" s="259" t="e">
        <v>#VALUE!</v>
      </c>
      <c r="Z59" s="260"/>
      <c r="AC59" s="64">
        <v>0</v>
      </c>
      <c r="AF59" s="228">
        <v>0</v>
      </c>
      <c r="AI59" s="228">
        <v>0</v>
      </c>
      <c r="AJ59" s="228" t="e">
        <v>#VALUE!</v>
      </c>
      <c r="AM59" s="228" t="e">
        <v>#VALUE!</v>
      </c>
    </row>
    <row r="60" spans="2:39" hidden="1" x14ac:dyDescent="0.25">
      <c r="B60" s="316" t="s">
        <v>26</v>
      </c>
      <c r="C60" s="215">
        <v>3750</v>
      </c>
      <c r="D60" s="280">
        <v>-84</v>
      </c>
      <c r="E60" s="268">
        <v>-350</v>
      </c>
      <c r="F60" s="218"/>
      <c r="G60" s="317" t="s">
        <v>51</v>
      </c>
      <c r="H60" s="318" t="s">
        <v>51</v>
      </c>
      <c r="I60" s="319" t="s">
        <v>51</v>
      </c>
      <c r="J60" s="320" t="s">
        <v>51</v>
      </c>
      <c r="K60" s="321"/>
      <c r="L60" s="322" t="s">
        <v>51</v>
      </c>
      <c r="M60" s="323" t="s">
        <v>51</v>
      </c>
      <c r="N60" s="172"/>
      <c r="O60" s="222">
        <v>0</v>
      </c>
      <c r="P60" s="222"/>
      <c r="Q60" s="324" t="s">
        <v>51</v>
      </c>
      <c r="R60" s="320" t="s">
        <v>51</v>
      </c>
      <c r="S60" s="145"/>
      <c r="T60" s="284">
        <v>-80</v>
      </c>
      <c r="U60" s="285">
        <v>4</v>
      </c>
      <c r="V60" s="226"/>
      <c r="W60" s="148"/>
      <c r="X60" s="260"/>
      <c r="Y60" s="259" t="e">
        <v>#VALUE!</v>
      </c>
      <c r="Z60" s="260"/>
      <c r="AC60" s="64">
        <v>0</v>
      </c>
      <c r="AF60" s="228">
        <v>0</v>
      </c>
      <c r="AI60" s="228">
        <v>0</v>
      </c>
      <c r="AJ60" s="228" t="e">
        <v>#VALUE!</v>
      </c>
      <c r="AM60" s="228" t="e">
        <v>#VALUE!</v>
      </c>
    </row>
    <row r="61" spans="2:39" hidden="1" x14ac:dyDescent="0.25">
      <c r="B61" s="316" t="s">
        <v>43</v>
      </c>
      <c r="C61" s="215">
        <v>3210</v>
      </c>
      <c r="D61" s="280">
        <v>-2646</v>
      </c>
      <c r="E61" s="268"/>
      <c r="F61" s="218">
        <v>0</v>
      </c>
      <c r="G61" s="317" t="s">
        <v>51</v>
      </c>
      <c r="H61" s="318" t="s">
        <v>51</v>
      </c>
      <c r="I61" s="319" t="s">
        <v>51</v>
      </c>
      <c r="J61" s="320" t="s">
        <v>51</v>
      </c>
      <c r="K61" s="321"/>
      <c r="L61" s="322" t="s">
        <v>51</v>
      </c>
      <c r="M61" s="323" t="s">
        <v>51</v>
      </c>
      <c r="N61" s="172"/>
      <c r="O61" s="222">
        <v>1451.9072000000001</v>
      </c>
      <c r="P61" s="222"/>
      <c r="Q61" s="324" t="s">
        <v>51</v>
      </c>
      <c r="R61" s="320" t="s">
        <v>51</v>
      </c>
      <c r="S61" s="145"/>
      <c r="T61" s="284">
        <v>-971</v>
      </c>
      <c r="U61" s="285">
        <v>3126.9072000000001</v>
      </c>
      <c r="V61" s="226"/>
      <c r="W61" s="148"/>
      <c r="X61" s="260"/>
      <c r="Y61" s="259" t="e">
        <v>#VALUE!</v>
      </c>
      <c r="Z61" s="260"/>
      <c r="AC61" s="64">
        <v>0</v>
      </c>
      <c r="AF61" s="228">
        <v>0</v>
      </c>
      <c r="AI61" s="228">
        <v>0</v>
      </c>
      <c r="AJ61" s="228" t="e">
        <v>#VALUE!</v>
      </c>
      <c r="AM61" s="228" t="e">
        <v>#VALUE!</v>
      </c>
    </row>
    <row r="62" spans="2:39" hidden="1" x14ac:dyDescent="0.25">
      <c r="B62" s="316" t="s">
        <v>44</v>
      </c>
      <c r="C62" s="215">
        <v>3960</v>
      </c>
      <c r="D62" s="280">
        <v>789</v>
      </c>
      <c r="E62" s="217"/>
      <c r="F62" s="218">
        <v>0</v>
      </c>
      <c r="G62" s="317" t="s">
        <v>51</v>
      </c>
      <c r="H62" s="318" t="s">
        <v>51</v>
      </c>
      <c r="I62" s="319" t="s">
        <v>51</v>
      </c>
      <c r="J62" s="320" t="s">
        <v>51</v>
      </c>
      <c r="K62" s="321"/>
      <c r="L62" s="322" t="s">
        <v>51</v>
      </c>
      <c r="M62" s="323" t="s">
        <v>51</v>
      </c>
      <c r="N62" s="172"/>
      <c r="O62" s="222">
        <v>815</v>
      </c>
      <c r="P62" s="222"/>
      <c r="Q62" s="324" t="s">
        <v>51</v>
      </c>
      <c r="R62" s="320" t="s">
        <v>51</v>
      </c>
      <c r="S62" s="145"/>
      <c r="T62" s="284">
        <v>-13</v>
      </c>
      <c r="U62" s="285">
        <v>13</v>
      </c>
      <c r="V62" s="325"/>
      <c r="W62" s="148"/>
      <c r="X62" s="260"/>
      <c r="Y62" s="259" t="e">
        <v>#VALUE!</v>
      </c>
      <c r="Z62" s="260"/>
      <c r="AC62" s="64">
        <v>0</v>
      </c>
      <c r="AF62" s="228">
        <v>0</v>
      </c>
      <c r="AI62" s="228">
        <v>0</v>
      </c>
      <c r="AJ62" s="228" t="e">
        <v>#VALUE!</v>
      </c>
      <c r="AM62" s="228" t="e">
        <v>#VALUE!</v>
      </c>
    </row>
    <row r="63" spans="2:39" ht="15.75" hidden="1" thickBot="1" x14ac:dyDescent="0.3">
      <c r="B63" s="316" t="s">
        <v>68</v>
      </c>
      <c r="C63" s="215">
        <v>3900</v>
      </c>
      <c r="D63" s="326">
        <v>-2522</v>
      </c>
      <c r="E63" s="327">
        <v>-4705</v>
      </c>
      <c r="F63" s="328">
        <v>10000</v>
      </c>
      <c r="G63" s="329" t="s">
        <v>51</v>
      </c>
      <c r="H63" s="330" t="s">
        <v>51</v>
      </c>
      <c r="I63" s="331">
        <v>55795.740000000005</v>
      </c>
      <c r="J63" s="332">
        <v>11191.570000000007</v>
      </c>
      <c r="K63" s="333">
        <v>10000</v>
      </c>
      <c r="L63" s="334">
        <v>73907.310000000012</v>
      </c>
      <c r="M63" s="143"/>
      <c r="N63" s="172"/>
      <c r="O63" s="250">
        <v>61671</v>
      </c>
      <c r="P63" s="250"/>
      <c r="Q63" s="324" t="s">
        <v>51</v>
      </c>
      <c r="R63" s="320" t="s">
        <v>51</v>
      </c>
      <c r="S63" s="145"/>
      <c r="T63" s="225">
        <v>17552</v>
      </c>
      <c r="U63" s="147">
        <v>71745</v>
      </c>
      <c r="V63" s="335">
        <v>2162.3100000000122</v>
      </c>
      <c r="W63" s="148"/>
      <c r="X63" s="260"/>
      <c r="Y63" s="259" t="e">
        <v>#VALUE!</v>
      </c>
      <c r="Z63" s="260"/>
      <c r="AC63" s="64">
        <v>0</v>
      </c>
      <c r="AF63" s="228">
        <v>0</v>
      </c>
      <c r="AI63" s="228">
        <v>0</v>
      </c>
      <c r="AJ63" s="228" t="e">
        <v>#VALUE!</v>
      </c>
      <c r="AM63" s="228" t="e">
        <v>#VALUE!</v>
      </c>
    </row>
    <row r="64" spans="2:39" ht="15.75" hidden="1" thickBot="1" x14ac:dyDescent="0.3">
      <c r="B64" s="336" t="s">
        <v>9</v>
      </c>
      <c r="C64" s="337"/>
      <c r="D64" s="338">
        <v>124999</v>
      </c>
      <c r="E64" s="339">
        <v>-2899</v>
      </c>
      <c r="F64" s="339">
        <v>95495</v>
      </c>
      <c r="G64" s="127">
        <v>214599.00043708098</v>
      </c>
      <c r="H64" s="133">
        <v>243062.99999999991</v>
      </c>
      <c r="I64" s="340">
        <v>214599.00000000006</v>
      </c>
      <c r="J64" s="341">
        <v>156411.99999999997</v>
      </c>
      <c r="K64" s="342">
        <v>40000</v>
      </c>
      <c r="L64" s="343">
        <v>1293255.6003234403</v>
      </c>
      <c r="M64" s="344">
        <v>300</v>
      </c>
      <c r="N64" s="188"/>
      <c r="O64" s="127">
        <v>365973.74319999997</v>
      </c>
      <c r="P64" s="252"/>
      <c r="Q64" s="131">
        <v>192740</v>
      </c>
      <c r="R64" s="341">
        <v>241690</v>
      </c>
      <c r="S64" s="131"/>
      <c r="T64" s="178">
        <v>166154</v>
      </c>
      <c r="U64" s="133">
        <v>315475.74319999997</v>
      </c>
      <c r="V64" s="345"/>
      <c r="W64" s="345"/>
      <c r="X64" s="260"/>
      <c r="Y64" s="259">
        <v>-835593.59988635941</v>
      </c>
      <c r="Z64" s="260"/>
      <c r="AC64" s="64">
        <v>0</v>
      </c>
      <c r="AF64" s="228">
        <v>0</v>
      </c>
      <c r="AI64" s="228">
        <v>0</v>
      </c>
      <c r="AJ64" s="228">
        <v>-243062.99999999991</v>
      </c>
      <c r="AM64" s="228">
        <v>-243062.99999999991</v>
      </c>
    </row>
    <row r="65" spans="2:39" hidden="1" x14ac:dyDescent="0.25">
      <c r="B65" s="225"/>
      <c r="D65" s="228"/>
      <c r="E65" s="228"/>
      <c r="F65" s="228"/>
      <c r="I65" s="303"/>
      <c r="J65" s="346"/>
      <c r="K65" s="347" t="s">
        <v>55</v>
      </c>
      <c r="L65" s="348" t="s">
        <v>70</v>
      </c>
      <c r="M65" s="228"/>
      <c r="N65" s="349"/>
      <c r="O65" s="228"/>
      <c r="P65" s="228"/>
      <c r="Q65" s="228"/>
      <c r="R65" s="228"/>
      <c r="X65" s="260"/>
      <c r="Y65" s="259" t="e">
        <v>#VALUE!</v>
      </c>
      <c r="Z65" s="260"/>
      <c r="AC65" s="64">
        <v>0</v>
      </c>
      <c r="AF65" s="228">
        <v>0</v>
      </c>
      <c r="AI65" s="228">
        <v>0</v>
      </c>
      <c r="AJ65" s="228">
        <v>0</v>
      </c>
      <c r="AM65" s="228">
        <v>0</v>
      </c>
    </row>
    <row r="66" spans="2:39" x14ac:dyDescent="0.25">
      <c r="X66" s="259">
        <v>6734.6423999999997</v>
      </c>
      <c r="Y66" s="259">
        <v>15599.455991862946</v>
      </c>
      <c r="Z66" s="259">
        <v>8864.813591862945</v>
      </c>
      <c r="AA66" s="229">
        <v>2650.182332655746</v>
      </c>
    </row>
  </sheetData>
  <mergeCells count="23">
    <mergeCell ref="B14:C14"/>
    <mergeCell ref="V6:V7"/>
    <mergeCell ref="W6:W7"/>
    <mergeCell ref="B8:C8"/>
    <mergeCell ref="B10:C10"/>
    <mergeCell ref="B11:C12"/>
    <mergeCell ref="B13:L13"/>
    <mergeCell ref="F6:F7"/>
    <mergeCell ref="G6:G7"/>
    <mergeCell ref="H6:H7"/>
    <mergeCell ref="I6:I7"/>
    <mergeCell ref="J6:J7"/>
    <mergeCell ref="N6:N13"/>
    <mergeCell ref="B4:B5"/>
    <mergeCell ref="C4:C5"/>
    <mergeCell ref="G4:H4"/>
    <mergeCell ref="I4:J4"/>
    <mergeCell ref="Q4:R4"/>
    <mergeCell ref="L5:L7"/>
    <mergeCell ref="B6:B7"/>
    <mergeCell ref="C6:C7"/>
    <mergeCell ref="D6:D7"/>
    <mergeCell ref="E6:E7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76"/>
  <sheetViews>
    <sheetView zoomScale="80" zoomScaleNormal="80" workbookViewId="0">
      <pane xSplit="3" ySplit="7" topLeftCell="D38" activePane="bottomRight" state="frozen"/>
      <selection pane="topRight" activeCell="D1" sqref="D1"/>
      <selection pane="bottomLeft" activeCell="A7" sqref="A7"/>
      <selection pane="bottomRight" activeCell="F40" sqref="F40"/>
    </sheetView>
  </sheetViews>
  <sheetFormatPr defaultColWidth="9.140625" defaultRowHeight="15" x14ac:dyDescent="0.25"/>
  <cols>
    <col min="1" max="1" width="2.28515625" style="61" customWidth="1"/>
    <col min="2" max="2" width="27.7109375" style="61" customWidth="1"/>
    <col min="3" max="3" width="12" style="61" customWidth="1"/>
    <col min="4" max="4" width="12.42578125" style="61" customWidth="1"/>
    <col min="5" max="5" width="12.42578125" style="60" customWidth="1"/>
    <col min="6" max="6" width="11.5703125" style="61" customWidth="1"/>
    <col min="7" max="7" width="11.5703125" style="530" customWidth="1"/>
    <col min="8" max="8" width="13.140625" style="530" customWidth="1"/>
    <col min="9" max="9" width="13" style="530" customWidth="1"/>
    <col min="10" max="10" width="11.7109375" style="3" customWidth="1"/>
    <col min="11" max="11" width="10.42578125" style="530" customWidth="1"/>
    <col min="12" max="12" width="8.7109375" style="5" customWidth="1"/>
    <col min="13" max="14" width="9.140625" style="61" customWidth="1"/>
    <col min="15" max="15" width="9.140625" style="400" customWidth="1"/>
    <col min="16" max="16" width="9.7109375" style="400" customWidth="1"/>
    <col min="17" max="17" width="9.140625" style="400" customWidth="1"/>
    <col min="18" max="18" width="9.42578125" style="400" customWidth="1"/>
    <col min="19" max="19" width="16" style="400" customWidth="1"/>
    <col min="20" max="20" width="9.140625" style="61"/>
    <col min="21" max="21" width="11.7109375" style="61" customWidth="1"/>
    <col min="22" max="22" width="10.140625" style="61" customWidth="1"/>
    <col min="23" max="23" width="9" style="60" customWidth="1"/>
    <col min="24" max="24" width="8.28515625" style="61" customWidth="1"/>
    <col min="25" max="25" width="13.5703125" style="61" customWidth="1"/>
    <col min="26" max="26" width="13.28515625" style="61" customWidth="1"/>
    <col min="27" max="16384" width="9.140625" style="61"/>
  </cols>
  <sheetData>
    <row r="1" spans="2:23" ht="18.75" x14ac:dyDescent="0.3">
      <c r="B1" s="534" t="s">
        <v>125</v>
      </c>
      <c r="C1" s="3"/>
      <c r="F1" s="3"/>
      <c r="H1" s="8"/>
      <c r="I1" s="458"/>
    </row>
    <row r="2" spans="2:23" ht="18.75" x14ac:dyDescent="0.3">
      <c r="B2" s="535" t="s">
        <v>152</v>
      </c>
      <c r="C2" s="3"/>
      <c r="F2" s="3"/>
      <c r="H2" s="466">
        <f>H10/H8%</f>
        <v>20.348205659593425</v>
      </c>
      <c r="I2" s="466">
        <f>I10/I8%</f>
        <v>18.705538128147584</v>
      </c>
    </row>
    <row r="3" spans="2:23" ht="15.75" thickBot="1" x14ac:dyDescent="0.3"/>
    <row r="4" spans="2:23" ht="37.5" customHeight="1" thickBot="1" x14ac:dyDescent="0.3">
      <c r="B4" s="632" t="s">
        <v>62</v>
      </c>
      <c r="C4" s="633"/>
      <c r="D4" s="711" t="s">
        <v>155</v>
      </c>
      <c r="E4" s="713" t="s">
        <v>156</v>
      </c>
      <c r="F4" s="715" t="s">
        <v>154</v>
      </c>
      <c r="G4" s="716"/>
      <c r="H4" s="626" t="s">
        <v>157</v>
      </c>
      <c r="I4" s="627"/>
      <c r="J4" s="717" t="s">
        <v>153</v>
      </c>
      <c r="K4" s="718"/>
      <c r="L4" s="396"/>
      <c r="M4" s="641" t="s">
        <v>158</v>
      </c>
      <c r="N4" s="642"/>
      <c r="O4" s="642"/>
      <c r="P4" s="643"/>
      <c r="Q4" s="429" t="s">
        <v>133</v>
      </c>
      <c r="R4" s="429" t="s">
        <v>131</v>
      </c>
      <c r="S4" s="429" t="s">
        <v>134</v>
      </c>
    </row>
    <row r="5" spans="2:23" ht="15.75" thickBot="1" x14ac:dyDescent="0.3">
      <c r="B5" s="634"/>
      <c r="C5" s="635"/>
      <c r="D5" s="712"/>
      <c r="E5" s="714"/>
      <c r="F5" s="45" t="s">
        <v>84</v>
      </c>
      <c r="G5" s="355" t="s">
        <v>105</v>
      </c>
      <c r="H5" s="55" t="s">
        <v>84</v>
      </c>
      <c r="I5" s="452" t="s">
        <v>105</v>
      </c>
      <c r="J5" s="693"/>
      <c r="K5" s="694"/>
      <c r="L5" s="392"/>
      <c r="M5" s="440" t="s">
        <v>49</v>
      </c>
      <c r="N5" s="428" t="s">
        <v>50</v>
      </c>
      <c r="O5" s="646" t="s">
        <v>132</v>
      </c>
      <c r="P5" s="647"/>
      <c r="Q5" s="401"/>
      <c r="R5" s="401"/>
      <c r="S5" s="401"/>
    </row>
    <row r="6" spans="2:23" ht="15.75" hidden="1" customHeight="1" thickBot="1" x14ac:dyDescent="0.3">
      <c r="B6" s="699">
        <v>-0.39</v>
      </c>
      <c r="C6" s="701"/>
      <c r="D6" s="387"/>
      <c r="E6" s="467"/>
      <c r="F6" s="703"/>
      <c r="G6" s="705"/>
      <c r="H6" s="707"/>
      <c r="I6" s="709" t="s">
        <v>94</v>
      </c>
      <c r="J6" s="695"/>
      <c r="K6" s="696"/>
      <c r="L6" s="392"/>
      <c r="M6" s="441"/>
      <c r="N6" s="31"/>
      <c r="O6" s="402"/>
      <c r="P6" s="403"/>
      <c r="Q6" s="401"/>
      <c r="R6" s="401"/>
      <c r="S6" s="401"/>
    </row>
    <row r="7" spans="2:23" ht="69.75" hidden="1" customHeight="1" thickBot="1" x14ac:dyDescent="0.3">
      <c r="B7" s="700"/>
      <c r="C7" s="702"/>
      <c r="D7" s="454"/>
      <c r="E7" s="468"/>
      <c r="F7" s="704"/>
      <c r="G7" s="706"/>
      <c r="H7" s="708"/>
      <c r="I7" s="710"/>
      <c r="J7" s="697"/>
      <c r="K7" s="698"/>
      <c r="L7" s="392"/>
      <c r="M7" s="441"/>
      <c r="N7" s="31"/>
      <c r="O7" s="402"/>
      <c r="P7" s="403"/>
      <c r="Q7" s="401"/>
      <c r="R7" s="401"/>
      <c r="S7" s="401"/>
    </row>
    <row r="8" spans="2:23" ht="18.75" customHeight="1" thickBot="1" x14ac:dyDescent="0.3">
      <c r="B8" s="691" t="s">
        <v>88</v>
      </c>
      <c r="C8" s="692"/>
      <c r="D8" s="374"/>
      <c r="E8" s="469"/>
      <c r="F8" s="47"/>
      <c r="G8" s="36"/>
      <c r="H8" s="58">
        <v>199767</v>
      </c>
      <c r="I8" s="35">
        <f>215165+31254</f>
        <v>246419</v>
      </c>
      <c r="J8" s="453">
        <f>H8+I8</f>
        <v>446186</v>
      </c>
      <c r="K8" s="367"/>
      <c r="L8" s="394"/>
      <c r="M8" s="441"/>
      <c r="N8" s="31"/>
      <c r="O8" s="404">
        <f>254899+254137</f>
        <v>509036</v>
      </c>
      <c r="P8" s="435"/>
      <c r="Q8" s="435"/>
      <c r="R8" s="405">
        <f>J8-O8</f>
        <v>-62850</v>
      </c>
      <c r="S8" s="405"/>
      <c r="T8" s="52"/>
      <c r="U8" s="52"/>
      <c r="V8" s="52"/>
    </row>
    <row r="9" spans="2:23" ht="15.75" thickBot="1" x14ac:dyDescent="0.3">
      <c r="B9" s="43" t="s">
        <v>103</v>
      </c>
      <c r="C9" s="353"/>
      <c r="D9" s="382"/>
      <c r="E9" s="470"/>
      <c r="F9" s="390"/>
      <c r="G9" s="375"/>
      <c r="H9" s="50">
        <f>-H10/H8</f>
        <v>-0.20348205659593427</v>
      </c>
      <c r="I9" s="57">
        <f>-I10/I8</f>
        <v>-0.18705538128147586</v>
      </c>
      <c r="J9" s="56"/>
      <c r="K9" s="370"/>
      <c r="L9" s="392"/>
      <c r="M9" s="441"/>
      <c r="N9" s="31"/>
      <c r="O9" s="406"/>
      <c r="P9" s="401"/>
      <c r="Q9" s="401"/>
      <c r="R9" s="407"/>
      <c r="S9" s="407"/>
      <c r="T9" s="52"/>
      <c r="U9" s="60"/>
      <c r="V9" s="60"/>
      <c r="W9" s="48"/>
    </row>
    <row r="10" spans="2:23" ht="15.75" thickBot="1" x14ac:dyDescent="0.3">
      <c r="B10" s="630"/>
      <c r="C10" s="631"/>
      <c r="D10" s="56"/>
      <c r="E10" s="471"/>
      <c r="F10" s="56"/>
      <c r="G10" s="56"/>
      <c r="H10" s="443">
        <v>40649</v>
      </c>
      <c r="I10" s="443">
        <f>J10-H10</f>
        <v>46094</v>
      </c>
      <c r="J10" s="56">
        <v>86743</v>
      </c>
      <c r="K10" s="17">
        <f>-(J10)/J8</f>
        <v>-0.19440995459292762</v>
      </c>
      <c r="L10" s="397"/>
      <c r="M10" s="441"/>
      <c r="N10" s="31"/>
      <c r="O10" s="406">
        <v>91550</v>
      </c>
      <c r="P10" s="436">
        <v>-0.1823030576174802</v>
      </c>
      <c r="Q10" s="436"/>
      <c r="R10" s="408">
        <f>J10-O10</f>
        <v>-4807</v>
      </c>
      <c r="S10" s="408"/>
      <c r="T10" s="1"/>
      <c r="U10" s="1"/>
      <c r="V10" s="1"/>
      <c r="W10" s="62"/>
    </row>
    <row r="11" spans="2:23" ht="15.75" thickBot="1" x14ac:dyDescent="0.3">
      <c r="B11" s="620"/>
      <c r="C11" s="621"/>
      <c r="D11" s="383"/>
      <c r="E11" s="472"/>
      <c r="F11" s="26"/>
      <c r="G11" s="38"/>
      <c r="H11" s="33">
        <f>H8-H10</f>
        <v>159118</v>
      </c>
      <c r="I11" s="39">
        <f>I8-I10</f>
        <v>200325</v>
      </c>
      <c r="J11" s="40"/>
      <c r="K11" s="370"/>
      <c r="L11" s="392"/>
      <c r="M11" s="442"/>
      <c r="N11" s="32"/>
      <c r="O11" s="410"/>
      <c r="P11" s="439"/>
      <c r="Q11" s="439"/>
      <c r="R11" s="409">
        <f>R8-R10</f>
        <v>-58043</v>
      </c>
      <c r="S11" s="409"/>
      <c r="T11" s="1"/>
      <c r="U11" s="1"/>
      <c r="V11" s="1"/>
      <c r="W11" s="63"/>
    </row>
    <row r="12" spans="2:23" ht="15.75" thickBot="1" x14ac:dyDescent="0.3">
      <c r="B12" s="622" t="s">
        <v>135</v>
      </c>
      <c r="C12" s="623"/>
      <c r="D12" s="384"/>
      <c r="E12" s="473"/>
      <c r="F12" s="41"/>
      <c r="G12" s="356"/>
      <c r="H12" s="359">
        <f>-26%-H9</f>
        <v>-5.651794340406574E-2</v>
      </c>
      <c r="I12" s="49">
        <f>I15-I9</f>
        <v>-0.20294461871852415</v>
      </c>
      <c r="J12" s="42"/>
      <c r="K12" s="370"/>
      <c r="L12" s="392"/>
      <c r="M12" s="441"/>
      <c r="N12" s="31"/>
      <c r="O12" s="406"/>
      <c r="P12" s="401"/>
      <c r="Q12" s="401"/>
      <c r="R12" s="403"/>
      <c r="S12" s="403"/>
      <c r="T12" s="54"/>
      <c r="U12" s="1"/>
      <c r="V12" s="1"/>
      <c r="W12" s="63"/>
    </row>
    <row r="13" spans="2:23" ht="15.75" thickBot="1" x14ac:dyDescent="0.3">
      <c r="B13" s="624"/>
      <c r="C13" s="625"/>
      <c r="D13" s="385">
        <f>15680-D17</f>
        <v>13499</v>
      </c>
      <c r="E13" s="385">
        <f>-SUM(E19:E59)-E14</f>
        <v>477</v>
      </c>
      <c r="F13" s="46"/>
      <c r="G13" s="357"/>
      <c r="H13" s="351">
        <f>-H12*(H8)</f>
        <v>11290.42</v>
      </c>
      <c r="I13" s="352">
        <f>-I12*(I8)</f>
        <v>50009.41</v>
      </c>
      <c r="J13" s="42">
        <f>-H8*H12-I8*I12</f>
        <v>61299.83</v>
      </c>
      <c r="K13" s="350">
        <f>-J13/J8</f>
        <v>-0.137386269403343</v>
      </c>
      <c r="L13" s="395"/>
      <c r="M13" s="410">
        <v>21805.74514982984</v>
      </c>
      <c r="N13" s="410">
        <v>46989.624850170163</v>
      </c>
      <c r="O13" s="410">
        <v>68795.37</v>
      </c>
      <c r="P13" s="437">
        <v>-0.14606946359707679</v>
      </c>
      <c r="Q13" s="511">
        <f>H13-M13</f>
        <v>-10515.32514982984</v>
      </c>
      <c r="R13" s="412">
        <f>I13-N13</f>
        <v>3019.7851498298405</v>
      </c>
      <c r="S13" s="409">
        <f>J13-O13</f>
        <v>-7495.5399999999936</v>
      </c>
      <c r="T13" s="53"/>
      <c r="U13" s="60"/>
      <c r="W13" s="61"/>
    </row>
    <row r="14" spans="2:23" ht="15.75" thickBot="1" x14ac:dyDescent="0.3">
      <c r="B14" s="20" t="s">
        <v>138</v>
      </c>
      <c r="C14" s="21">
        <v>3740</v>
      </c>
      <c r="D14" s="425">
        <f>-33182-1536</f>
        <v>-34718</v>
      </c>
      <c r="E14" s="426"/>
      <c r="F14" s="497"/>
      <c r="G14" s="496"/>
      <c r="H14" s="497"/>
      <c r="I14" s="495"/>
      <c r="J14" s="494"/>
      <c r="K14" s="493"/>
      <c r="L14" s="393"/>
      <c r="M14" s="485">
        <v>0</v>
      </c>
      <c r="N14" s="485">
        <v>0</v>
      </c>
      <c r="O14" s="485">
        <v>0</v>
      </c>
      <c r="P14" s="486">
        <v>0</v>
      </c>
      <c r="Q14" s="511">
        <v>0</v>
      </c>
      <c r="R14" s="431">
        <v>0</v>
      </c>
      <c r="S14" s="412">
        <v>0</v>
      </c>
      <c r="W14" s="61"/>
    </row>
    <row r="15" spans="2:23" ht="15.75" thickBot="1" x14ac:dyDescent="0.3">
      <c r="B15" s="639" t="s">
        <v>104</v>
      </c>
      <c r="C15" s="640"/>
      <c r="D15" s="354"/>
      <c r="E15" s="474"/>
      <c r="F15" s="372"/>
      <c r="G15" s="372"/>
      <c r="H15" s="457">
        <f>-0.26</f>
        <v>-0.26</v>
      </c>
      <c r="I15" s="456">
        <f>-39%</f>
        <v>-0.39</v>
      </c>
      <c r="J15" s="354"/>
      <c r="K15" s="373">
        <f>(K10+K13)</f>
        <v>-0.33179622399627062</v>
      </c>
      <c r="L15" s="391"/>
      <c r="M15" s="441"/>
      <c r="N15" s="31"/>
      <c r="O15" s="402"/>
      <c r="P15" s="438">
        <v>-0.32837252121455696</v>
      </c>
      <c r="Q15" s="438"/>
      <c r="R15" s="403"/>
      <c r="S15" s="403"/>
      <c r="U15" s="60"/>
      <c r="W15" s="61"/>
    </row>
    <row r="16" spans="2:23" ht="15.75" thickBot="1" x14ac:dyDescent="0.3">
      <c r="B16" s="51" t="s">
        <v>159</v>
      </c>
      <c r="C16" s="354"/>
      <c r="D16" s="386"/>
      <c r="E16" s="475"/>
      <c r="F16" s="371">
        <f>H16/(1-0.26)</f>
        <v>540.54054054054052</v>
      </c>
      <c r="G16" s="371"/>
      <c r="H16" s="381">
        <v>400</v>
      </c>
      <c r="I16" s="381"/>
      <c r="J16" s="362"/>
      <c r="K16" s="370"/>
      <c r="L16" s="392"/>
      <c r="M16" s="441"/>
      <c r="N16" s="31"/>
      <c r="O16" s="402"/>
      <c r="P16" s="401"/>
      <c r="Q16" s="401"/>
      <c r="R16" s="403"/>
      <c r="S16" s="403"/>
      <c r="W16" s="61"/>
    </row>
    <row r="17" spans="2:32" ht="15.75" thickBot="1" x14ac:dyDescent="0.3">
      <c r="B17" s="51" t="s">
        <v>137</v>
      </c>
      <c r="C17" s="354"/>
      <c r="D17" s="376">
        <v>2181</v>
      </c>
      <c r="E17" s="476"/>
      <c r="F17" s="372"/>
      <c r="G17" s="358">
        <f>3125</f>
        <v>3125</v>
      </c>
      <c r="H17" s="378"/>
      <c r="I17" s="379">
        <f>G17*(1-0.39)</f>
        <v>1906.25</v>
      </c>
      <c r="J17" s="380"/>
      <c r="K17" s="370"/>
      <c r="L17" s="392"/>
      <c r="M17" s="442"/>
      <c r="N17" s="32"/>
      <c r="O17" s="424"/>
      <c r="P17" s="439"/>
      <c r="Q17" s="401"/>
      <c r="R17" s="403"/>
      <c r="S17" s="403"/>
      <c r="U17" s="60"/>
      <c r="W17" s="61"/>
    </row>
    <row r="18" spans="2:32" ht="16.5" thickBot="1" x14ac:dyDescent="0.3">
      <c r="B18" s="616" t="s">
        <v>129</v>
      </c>
      <c r="C18" s="617"/>
      <c r="D18" s="376">
        <f>SUM(D19:D59)</f>
        <v>116225</v>
      </c>
      <c r="E18" s="477">
        <f>SUM(E20:E58)</f>
        <v>-477</v>
      </c>
      <c r="F18" s="44" t="e">
        <f>SUM(F19:F59)</f>
        <v>#REF!</v>
      </c>
      <c r="G18" s="358">
        <f>SUM(G20:G59)</f>
        <v>243293.60813955218</v>
      </c>
      <c r="H18" s="360" t="e">
        <f>SUM(H20:H59)</f>
        <v>#REF!</v>
      </c>
      <c r="I18" s="360">
        <f>SUM(I20:I59)</f>
        <v>148409.1009651268</v>
      </c>
      <c r="J18" s="27" t="e">
        <f t="shared" ref="J18:J32" si="0">H18+I18</f>
        <v>#REF!</v>
      </c>
      <c r="K18" s="361">
        <f>-(J10+J13+H16)/J8</f>
        <v>-0.33269271111150961</v>
      </c>
      <c r="L18" s="395"/>
      <c r="M18" s="433">
        <v>166465.4936364372</v>
      </c>
      <c r="N18" s="434">
        <v>151880.36200000002</v>
      </c>
      <c r="O18" s="433">
        <v>317345.87694035284</v>
      </c>
      <c r="P18" s="434">
        <v>-0.33181574250850832</v>
      </c>
      <c r="Q18" s="432" t="e">
        <f t="shared" ref="Q18:R59" si="1">H18-M18</f>
        <v>#REF!</v>
      </c>
      <c r="R18" s="430">
        <f t="shared" si="1"/>
        <v>-3471.2610348732269</v>
      </c>
      <c r="S18" s="430" t="e">
        <f>Q18+R18</f>
        <v>#REF!</v>
      </c>
      <c r="V18" s="59"/>
    </row>
    <row r="19" spans="2:32" ht="15.75" thickBot="1" x14ac:dyDescent="0.3">
      <c r="B19" s="20" t="s">
        <v>1</v>
      </c>
      <c r="C19" s="21">
        <v>3110</v>
      </c>
      <c r="D19" s="24">
        <v>1045</v>
      </c>
      <c r="E19" s="426"/>
      <c r="F19" s="508" t="e">
        <f>#REF!</f>
        <v>#REF!</v>
      </c>
      <c r="G19" s="23">
        <v>0</v>
      </c>
      <c r="H19" s="508" t="e">
        <f t="shared" ref="H19:H40" si="2">F19*(1-0.265)</f>
        <v>#REF!</v>
      </c>
      <c r="I19" s="22">
        <f>G19*(1-0.39)</f>
        <v>0</v>
      </c>
      <c r="J19" s="505" t="e">
        <f t="shared" si="0"/>
        <v>#REF!</v>
      </c>
      <c r="K19" s="451" t="e">
        <f>SUM(J19:J22)</f>
        <v>#REF!</v>
      </c>
      <c r="L19" s="398"/>
      <c r="M19" s="420"/>
      <c r="N19" s="446"/>
      <c r="O19" s="450">
        <v>0</v>
      </c>
      <c r="P19" s="492">
        <v>49034.953977683908</v>
      </c>
      <c r="Q19" s="512" t="e">
        <f t="shared" si="1"/>
        <v>#REF!</v>
      </c>
      <c r="R19" s="423">
        <f t="shared" si="1"/>
        <v>0</v>
      </c>
      <c r="S19" s="423"/>
      <c r="U19" s="513" t="s">
        <v>136</v>
      </c>
      <c r="V19" s="514" t="s">
        <v>139</v>
      </c>
      <c r="W19" s="515"/>
    </row>
    <row r="20" spans="2:32" ht="15.75" thickBot="1" x14ac:dyDescent="0.3">
      <c r="B20" s="2" t="s">
        <v>29</v>
      </c>
      <c r="C20" s="15">
        <v>3111</v>
      </c>
      <c r="D20" s="4">
        <f>13371+104</f>
        <v>13475</v>
      </c>
      <c r="E20" s="377"/>
      <c r="F20" s="507" t="e">
        <f>#REF!</f>
        <v>#REF!</v>
      </c>
      <c r="G20" s="13">
        <v>15147.852804708693</v>
      </c>
      <c r="H20" s="506" t="e">
        <f t="shared" si="2"/>
        <v>#REF!</v>
      </c>
      <c r="I20" s="416">
        <f>G20*(1-0.39)</f>
        <v>9240.1902108723025</v>
      </c>
      <c r="J20" s="504" t="e">
        <f t="shared" si="0"/>
        <v>#REF!</v>
      </c>
      <c r="K20" s="33"/>
      <c r="L20" s="9"/>
      <c r="M20" s="421">
        <v>6442.2822661462387</v>
      </c>
      <c r="N20" s="444">
        <v>11193.041755562161</v>
      </c>
      <c r="O20" s="447">
        <v>19649.58880811392</v>
      </c>
      <c r="P20" s="448"/>
      <c r="Q20" s="512" t="e">
        <f t="shared" si="1"/>
        <v>#REF!</v>
      </c>
      <c r="R20" s="423">
        <f t="shared" si="1"/>
        <v>-1952.8515446898582</v>
      </c>
      <c r="S20" s="423" t="e">
        <f>Q20+R20</f>
        <v>#REF!</v>
      </c>
      <c r="U20" s="516" t="e">
        <f>#REF!</f>
        <v>#REF!</v>
      </c>
      <c r="V20" s="517" t="e">
        <f>(H8-F16)*1/U20</f>
        <v>#REF!</v>
      </c>
      <c r="W20" s="518"/>
    </row>
    <row r="21" spans="2:32" x14ac:dyDescent="0.25">
      <c r="B21" s="37" t="s">
        <v>0</v>
      </c>
      <c r="C21" s="16">
        <v>3112</v>
      </c>
      <c r="D21" s="4">
        <f>10332</f>
        <v>10332</v>
      </c>
      <c r="E21" s="377">
        <v>-40</v>
      </c>
      <c r="F21" s="507" t="e">
        <f>#REF!</f>
        <v>#REF!</v>
      </c>
      <c r="G21" s="13">
        <v>9859.3033823996575</v>
      </c>
      <c r="H21" s="506" t="e">
        <f t="shared" si="2"/>
        <v>#REF!</v>
      </c>
      <c r="I21" s="416">
        <f>G21*(1-0.39)</f>
        <v>6014.1750632637913</v>
      </c>
      <c r="J21" s="504" t="e">
        <f t="shared" si="0"/>
        <v>#REF!</v>
      </c>
      <c r="K21" s="33"/>
      <c r="L21" s="9"/>
      <c r="M21" s="421">
        <v>6693.4679580517286</v>
      </c>
      <c r="N21" s="444">
        <v>6792.3327207178409</v>
      </c>
      <c r="O21" s="447">
        <v>12023.403483099479</v>
      </c>
      <c r="P21" s="448"/>
      <c r="Q21" s="512" t="e">
        <f t="shared" si="1"/>
        <v>#REF!</v>
      </c>
      <c r="R21" s="423">
        <f t="shared" si="1"/>
        <v>-778.15765745404951</v>
      </c>
      <c r="S21" s="423" t="e">
        <f t="shared" ref="S21:S59" si="3">Q21+R21</f>
        <v>#REF!</v>
      </c>
      <c r="U21" s="60"/>
    </row>
    <row r="22" spans="2:32" ht="15.75" thickBot="1" x14ac:dyDescent="0.3">
      <c r="B22" s="18" t="s">
        <v>79</v>
      </c>
      <c r="C22" s="19">
        <v>3113</v>
      </c>
      <c r="D22" s="4">
        <f>6561+816</f>
        <v>7377</v>
      </c>
      <c r="E22" s="377"/>
      <c r="F22" s="507" t="e">
        <f>#REF!</f>
        <v>#REF!</v>
      </c>
      <c r="G22" s="13">
        <v>20318.956553305306</v>
      </c>
      <c r="H22" s="506" t="e">
        <f t="shared" si="2"/>
        <v>#REF!</v>
      </c>
      <c r="I22" s="416">
        <f>G22*(1-0.39)</f>
        <v>12394.563497516237</v>
      </c>
      <c r="J22" s="503" t="e">
        <f t="shared" si="0"/>
        <v>#REF!</v>
      </c>
      <c r="K22" s="34"/>
      <c r="L22" s="9"/>
      <c r="M22" s="422">
        <v>7658.1579363425381</v>
      </c>
      <c r="N22" s="445">
        <v>11946.452774068341</v>
      </c>
      <c r="O22" s="447">
        <v>17361.961686470513</v>
      </c>
      <c r="P22" s="448"/>
      <c r="Q22" s="512" t="e">
        <f t="shared" si="1"/>
        <v>#REF!</v>
      </c>
      <c r="R22" s="423">
        <f t="shared" si="1"/>
        <v>448.11072344789682</v>
      </c>
      <c r="S22" s="423" t="e">
        <f t="shared" si="3"/>
        <v>#REF!</v>
      </c>
      <c r="V22" s="455"/>
    </row>
    <row r="23" spans="2:32" ht="15.75" thickBot="1" x14ac:dyDescent="0.3">
      <c r="B23" s="20" t="s">
        <v>2</v>
      </c>
      <c r="C23" s="21">
        <v>3120</v>
      </c>
      <c r="D23" s="24">
        <v>1555</v>
      </c>
      <c r="E23" s="426">
        <v>-2</v>
      </c>
      <c r="F23" s="508" t="e">
        <f>#REF!</f>
        <v>#REF!</v>
      </c>
      <c r="G23" s="23">
        <v>0</v>
      </c>
      <c r="H23" s="508" t="e">
        <f t="shared" si="2"/>
        <v>#REF!</v>
      </c>
      <c r="I23" s="417">
        <f>G23*(1-0.39)</f>
        <v>0</v>
      </c>
      <c r="J23" s="489" t="e">
        <f t="shared" si="0"/>
        <v>#REF!</v>
      </c>
      <c r="K23" s="451" t="e">
        <f>SUM(J23:J27)</f>
        <v>#REF!</v>
      </c>
      <c r="L23" s="398"/>
      <c r="M23" s="420">
        <v>0</v>
      </c>
      <c r="N23" s="446">
        <v>0</v>
      </c>
      <c r="O23" s="450">
        <v>0</v>
      </c>
      <c r="P23" s="449">
        <v>39474.682519884591</v>
      </c>
      <c r="Q23" s="512" t="e">
        <f t="shared" si="1"/>
        <v>#REF!</v>
      </c>
      <c r="R23" s="423">
        <f t="shared" si="1"/>
        <v>0</v>
      </c>
      <c r="S23" s="423" t="e">
        <f t="shared" si="3"/>
        <v>#REF!</v>
      </c>
      <c r="U23" s="491"/>
      <c r="V23" s="1"/>
    </row>
    <row r="24" spans="2:32" x14ac:dyDescent="0.25">
      <c r="B24" s="2" t="s">
        <v>3</v>
      </c>
      <c r="C24" s="15">
        <v>3122</v>
      </c>
      <c r="D24" s="4">
        <f>6489+8</f>
        <v>6497</v>
      </c>
      <c r="E24" s="377"/>
      <c r="F24" s="507" t="e">
        <f>#REF!</f>
        <v>#REF!</v>
      </c>
      <c r="G24" s="25">
        <v>14810.681694120125</v>
      </c>
      <c r="H24" s="506" t="e">
        <f t="shared" si="2"/>
        <v>#REF!</v>
      </c>
      <c r="I24" s="419">
        <f>(G24*(1-0.39))-543-367</f>
        <v>8124.5158334132757</v>
      </c>
      <c r="J24" s="504" t="e">
        <f t="shared" si="0"/>
        <v>#REF!</v>
      </c>
      <c r="K24" s="33"/>
      <c r="L24" s="9"/>
      <c r="M24" s="421">
        <v>912.4711760123389</v>
      </c>
      <c r="N24" s="444">
        <v>7844.4872690676093</v>
      </c>
      <c r="O24" s="447">
        <v>7808.0476995362915</v>
      </c>
      <c r="P24" s="448"/>
      <c r="Q24" s="512" t="e">
        <f t="shared" si="1"/>
        <v>#REF!</v>
      </c>
      <c r="R24" s="423">
        <f t="shared" si="1"/>
        <v>280.02856434566638</v>
      </c>
      <c r="S24" s="423" t="e">
        <f t="shared" si="3"/>
        <v>#REF!</v>
      </c>
    </row>
    <row r="25" spans="2:32" x14ac:dyDescent="0.25">
      <c r="B25" s="2" t="s">
        <v>30</v>
      </c>
      <c r="C25" s="15">
        <v>3123</v>
      </c>
      <c r="D25" s="4">
        <f>8707+1176</f>
        <v>9883</v>
      </c>
      <c r="E25" s="377"/>
      <c r="F25" s="507" t="e">
        <f>#REF!</f>
        <v>#REF!</v>
      </c>
      <c r="G25" s="25">
        <v>13738.004873585658</v>
      </c>
      <c r="H25" s="506" t="e">
        <f t="shared" si="2"/>
        <v>#REF!</v>
      </c>
      <c r="I25" s="416">
        <f>(G25*(1-0.39))</f>
        <v>8380.1829728872508</v>
      </c>
      <c r="J25" s="504" t="e">
        <f t="shared" si="0"/>
        <v>#REF!</v>
      </c>
      <c r="K25" s="33"/>
      <c r="L25" s="9"/>
      <c r="M25" s="421">
        <v>19532.351878760517</v>
      </c>
      <c r="N25" s="444">
        <v>8212.5949044071422</v>
      </c>
      <c r="O25" s="447">
        <v>26162.789315709531</v>
      </c>
      <c r="P25" s="448"/>
      <c r="Q25" s="512" t="e">
        <f t="shared" si="1"/>
        <v>#REF!</v>
      </c>
      <c r="R25" s="423">
        <f t="shared" si="1"/>
        <v>167.58806848010863</v>
      </c>
      <c r="S25" s="423" t="e">
        <f t="shared" si="3"/>
        <v>#REF!</v>
      </c>
    </row>
    <row r="26" spans="2:32" x14ac:dyDescent="0.25">
      <c r="B26" s="2" t="s">
        <v>4</v>
      </c>
      <c r="C26" s="15">
        <v>3125</v>
      </c>
      <c r="D26" s="4">
        <f>3568+319</f>
        <v>3887</v>
      </c>
      <c r="E26" s="377"/>
      <c r="F26" s="507" t="e">
        <f>#REF!</f>
        <v>#REF!</v>
      </c>
      <c r="G26" s="25">
        <v>1833.320986648695</v>
      </c>
      <c r="H26" s="506" t="e">
        <f t="shared" si="2"/>
        <v>#REF!</v>
      </c>
      <c r="I26" s="416">
        <f>(G26*(1-0.39))+543-543+367</f>
        <v>1485.325801855704</v>
      </c>
      <c r="J26" s="504" t="e">
        <f t="shared" si="0"/>
        <v>#REF!</v>
      </c>
      <c r="K26" s="33"/>
      <c r="L26" s="9"/>
      <c r="M26" s="421">
        <v>1248.8956057881931</v>
      </c>
      <c r="N26" s="444">
        <v>1447.1914807477433</v>
      </c>
      <c r="O26" s="447">
        <v>2721.0735461479026</v>
      </c>
      <c r="P26" s="448"/>
      <c r="Q26" s="512" t="e">
        <f t="shared" si="1"/>
        <v>#REF!</v>
      </c>
      <c r="R26" s="423">
        <f t="shared" si="1"/>
        <v>38.134321107960659</v>
      </c>
      <c r="S26" s="423" t="e">
        <f t="shared" si="3"/>
        <v>#REF!</v>
      </c>
    </row>
    <row r="27" spans="2:32" ht="15.75" thickBot="1" x14ac:dyDescent="0.3">
      <c r="B27" s="18" t="s">
        <v>5</v>
      </c>
      <c r="C27" s="19">
        <v>3127</v>
      </c>
      <c r="D27" s="4">
        <f>2163+8</f>
        <v>2171</v>
      </c>
      <c r="E27" s="377"/>
      <c r="F27" s="507" t="e">
        <f>#REF!</f>
        <v>#REF!</v>
      </c>
      <c r="G27" s="25">
        <v>3649.4012716291572</v>
      </c>
      <c r="H27" s="506" t="e">
        <f t="shared" si="2"/>
        <v>#REF!</v>
      </c>
      <c r="I27" s="419">
        <f>(G27*(1-0.39))-2000</f>
        <v>226.13477569378574</v>
      </c>
      <c r="J27" s="503" t="e">
        <f t="shared" si="0"/>
        <v>#REF!</v>
      </c>
      <c r="K27" s="34"/>
      <c r="L27" s="9"/>
      <c r="M27" s="422">
        <v>2859.3559613132952</v>
      </c>
      <c r="N27" s="445">
        <v>400.90697055048622</v>
      </c>
      <c r="O27" s="447">
        <v>2782.7719584908627</v>
      </c>
      <c r="P27" s="448"/>
      <c r="Q27" s="512" t="e">
        <f t="shared" si="1"/>
        <v>#REF!</v>
      </c>
      <c r="R27" s="423">
        <f t="shared" si="1"/>
        <v>-174.77219485670048</v>
      </c>
      <c r="S27" s="423" t="e">
        <f t="shared" si="3"/>
        <v>#REF!</v>
      </c>
      <c r="AF27" s="415"/>
    </row>
    <row r="28" spans="2:32" ht="15.75" thickBot="1" x14ac:dyDescent="0.3">
      <c r="B28" s="20" t="s">
        <v>54</v>
      </c>
      <c r="C28" s="21">
        <v>3130</v>
      </c>
      <c r="D28" s="24">
        <v>631</v>
      </c>
      <c r="E28" s="426"/>
      <c r="F28" s="508" t="e">
        <f>#REF!</f>
        <v>#REF!</v>
      </c>
      <c r="G28" s="23">
        <v>0</v>
      </c>
      <c r="H28" s="508" t="e">
        <f t="shared" si="2"/>
        <v>#REF!</v>
      </c>
      <c r="I28" s="417">
        <f>G28*(1-0.39)</f>
        <v>0</v>
      </c>
      <c r="J28" s="489" t="e">
        <f t="shared" si="0"/>
        <v>#REF!</v>
      </c>
      <c r="K28" s="451" t="e">
        <f>SUM(J28:J33)</f>
        <v>#REF!</v>
      </c>
      <c r="L28" s="398"/>
      <c r="M28" s="420">
        <v>0</v>
      </c>
      <c r="N28" s="446">
        <v>0</v>
      </c>
      <c r="O28" s="450">
        <v>0</v>
      </c>
      <c r="P28" s="449">
        <v>41469.676985847618</v>
      </c>
      <c r="Q28" s="512" t="e">
        <f t="shared" si="1"/>
        <v>#REF!</v>
      </c>
      <c r="R28" s="423">
        <f t="shared" si="1"/>
        <v>0</v>
      </c>
      <c r="S28" s="423" t="e">
        <f t="shared" si="3"/>
        <v>#REF!</v>
      </c>
    </row>
    <row r="29" spans="2:32" x14ac:dyDescent="0.25">
      <c r="B29" s="2" t="s">
        <v>31</v>
      </c>
      <c r="C29" s="15">
        <v>3131</v>
      </c>
      <c r="D29" s="4">
        <f>3475+418</f>
        <v>3893</v>
      </c>
      <c r="E29" s="377"/>
      <c r="F29" s="507" t="e">
        <f>#REF!</f>
        <v>#REF!</v>
      </c>
      <c r="G29" s="25">
        <v>8972.9534054288051</v>
      </c>
      <c r="H29" s="506" t="e">
        <f t="shared" si="2"/>
        <v>#REF!</v>
      </c>
      <c r="I29" s="416">
        <f>(G29*(1-0.39))-200</f>
        <v>5273.5015773115711</v>
      </c>
      <c r="J29" s="504" t="e">
        <f t="shared" si="0"/>
        <v>#REF!</v>
      </c>
      <c r="K29" s="33"/>
      <c r="L29" s="9"/>
      <c r="M29" s="421">
        <v>861.60403171512996</v>
      </c>
      <c r="N29" s="444">
        <v>5740.1479275655302</v>
      </c>
      <c r="O29" s="447">
        <v>6884.4544774768592</v>
      </c>
      <c r="P29" s="448"/>
      <c r="Q29" s="512" t="e">
        <f t="shared" si="1"/>
        <v>#REF!</v>
      </c>
      <c r="R29" s="423">
        <f t="shared" si="1"/>
        <v>-466.6463502539591</v>
      </c>
      <c r="S29" s="423" t="e">
        <f t="shared" si="3"/>
        <v>#REF!</v>
      </c>
    </row>
    <row r="30" spans="2:32" x14ac:dyDescent="0.25">
      <c r="B30" s="2" t="s">
        <v>32</v>
      </c>
      <c r="C30" s="16">
        <v>3132</v>
      </c>
      <c r="D30" s="4">
        <f>677+566</f>
        <v>1243</v>
      </c>
      <c r="E30" s="377"/>
      <c r="F30" s="507" t="e">
        <f>#REF!</f>
        <v>#REF!</v>
      </c>
      <c r="G30" s="25">
        <v>15308.607449742194</v>
      </c>
      <c r="H30" s="506" t="e">
        <f t="shared" si="2"/>
        <v>#REF!</v>
      </c>
      <c r="I30" s="416">
        <f>(G30*(1-0.39))-2187</f>
        <v>7151.2505443427381</v>
      </c>
      <c r="J30" s="504" t="e">
        <f t="shared" si="0"/>
        <v>#REF!</v>
      </c>
      <c r="K30" s="33"/>
      <c r="L30" s="9"/>
      <c r="M30" s="421">
        <v>1266.1193165738416</v>
      </c>
      <c r="N30" s="444">
        <v>7746.8722768135049</v>
      </c>
      <c r="O30" s="447">
        <v>10131.307638677272</v>
      </c>
      <c r="P30" s="448"/>
      <c r="Q30" s="512" t="e">
        <f t="shared" si="1"/>
        <v>#REF!</v>
      </c>
      <c r="R30" s="423">
        <f t="shared" si="1"/>
        <v>-595.6217324707668</v>
      </c>
      <c r="S30" s="423" t="e">
        <f t="shared" si="3"/>
        <v>#REF!</v>
      </c>
    </row>
    <row r="31" spans="2:32" x14ac:dyDescent="0.25">
      <c r="B31" s="2" t="s">
        <v>33</v>
      </c>
      <c r="C31" s="15">
        <v>3133</v>
      </c>
      <c r="D31" s="4">
        <f>3185+978</f>
        <v>4163</v>
      </c>
      <c r="E31" s="377"/>
      <c r="F31" s="507" t="e">
        <f>#REF!</f>
        <v>#REF!</v>
      </c>
      <c r="G31" s="25">
        <v>9932.5679613224584</v>
      </c>
      <c r="H31" s="506" t="e">
        <f t="shared" si="2"/>
        <v>#REF!</v>
      </c>
      <c r="I31" s="416">
        <f>(G31*(1-0.39))-1500</f>
        <v>4558.8664564066994</v>
      </c>
      <c r="J31" s="504" t="e">
        <f t="shared" si="0"/>
        <v>#REF!</v>
      </c>
      <c r="K31" s="33"/>
      <c r="L31" s="9"/>
      <c r="M31" s="421">
        <v>2066.8778870207361</v>
      </c>
      <c r="N31" s="444">
        <v>5399.0870485706209</v>
      </c>
      <c r="O31" s="447">
        <v>7515.0730359484442</v>
      </c>
      <c r="P31" s="448"/>
      <c r="Q31" s="512" t="e">
        <f t="shared" si="1"/>
        <v>#REF!</v>
      </c>
      <c r="R31" s="423">
        <f t="shared" si="1"/>
        <v>-840.22059216392154</v>
      </c>
      <c r="S31" s="423" t="e">
        <f t="shared" si="3"/>
        <v>#REF!</v>
      </c>
    </row>
    <row r="32" spans="2:32" x14ac:dyDescent="0.25">
      <c r="B32" s="2" t="s">
        <v>34</v>
      </c>
      <c r="C32" s="15">
        <v>3134</v>
      </c>
      <c r="D32" s="4">
        <f>1346</f>
        <v>1346</v>
      </c>
      <c r="E32" s="377">
        <v>-169</v>
      </c>
      <c r="F32" s="507" t="e">
        <f>#REF!</f>
        <v>#REF!</v>
      </c>
      <c r="G32" s="25">
        <v>8949.8175832863271</v>
      </c>
      <c r="H32" s="506" t="e">
        <f t="shared" si="2"/>
        <v>#REF!</v>
      </c>
      <c r="I32" s="416">
        <f>(G32*(1-0.39))</f>
        <v>5459.3887258046598</v>
      </c>
      <c r="J32" s="504" t="e">
        <f t="shared" si="0"/>
        <v>#REF!</v>
      </c>
      <c r="K32" s="33"/>
      <c r="L32" s="9"/>
      <c r="M32" s="421">
        <v>5526.0008461708439</v>
      </c>
      <c r="N32" s="444">
        <v>5565.5253115229989</v>
      </c>
      <c r="O32" s="447">
        <v>11511.736530269969</v>
      </c>
      <c r="P32" s="448"/>
      <c r="Q32" s="512" t="e">
        <f t="shared" si="1"/>
        <v>#REF!</v>
      </c>
      <c r="R32" s="423">
        <f t="shared" si="1"/>
        <v>-106.13658571833912</v>
      </c>
      <c r="S32" s="423" t="e">
        <f t="shared" si="3"/>
        <v>#REF!</v>
      </c>
    </row>
    <row r="33" spans="2:26" ht="15.75" thickBot="1" x14ac:dyDescent="0.3">
      <c r="B33" s="18" t="s">
        <v>35</v>
      </c>
      <c r="C33" s="19">
        <v>3135</v>
      </c>
      <c r="D33" s="4">
        <f>807+603</f>
        <v>1410</v>
      </c>
      <c r="E33" s="377"/>
      <c r="F33" s="507" t="e">
        <f>#REF!</f>
        <v>#REF!</v>
      </c>
      <c r="G33" s="25">
        <v>13983.506247333356</v>
      </c>
      <c r="H33" s="506" t="e">
        <f>F33*(1-0.265)-132.83*V20*(1-0.265)-356.09*V20*(1-0.265)</f>
        <v>#REF!</v>
      </c>
      <c r="I33" s="416">
        <f>(G33*(1-0.39))-1068-1775-470-140</f>
        <v>5076.9388108733474</v>
      </c>
      <c r="J33" s="503" t="e">
        <f>H33+I33+0.2</f>
        <v>#REF!</v>
      </c>
      <c r="K33" s="34"/>
      <c r="L33" s="9"/>
      <c r="M33" s="422">
        <v>1690.742892867388</v>
      </c>
      <c r="N33" s="444">
        <v>4523.7517107210833</v>
      </c>
      <c r="O33" s="447">
        <v>5427.1053034750694</v>
      </c>
      <c r="P33" s="448"/>
      <c r="Q33" s="512" t="e">
        <f t="shared" si="1"/>
        <v>#REF!</v>
      </c>
      <c r="R33" s="423">
        <f t="shared" si="1"/>
        <v>553.18710015226407</v>
      </c>
      <c r="S33" s="423" t="e">
        <f t="shared" si="3"/>
        <v>#REF!</v>
      </c>
      <c r="U33" s="1"/>
    </row>
    <row r="34" spans="2:26" ht="15.75" thickBot="1" x14ac:dyDescent="0.3">
      <c r="B34" s="20" t="s">
        <v>6</v>
      </c>
      <c r="C34" s="21">
        <v>3140</v>
      </c>
      <c r="D34" s="24">
        <v>177</v>
      </c>
      <c r="E34" s="426"/>
      <c r="F34" s="508" t="e">
        <f>#REF!</f>
        <v>#REF!</v>
      </c>
      <c r="G34" s="23">
        <v>0</v>
      </c>
      <c r="H34" s="508" t="e">
        <f t="shared" si="2"/>
        <v>#REF!</v>
      </c>
      <c r="I34" s="417">
        <f t="shared" ref="I34:I45" si="4">G34*(1-0.39)</f>
        <v>0</v>
      </c>
      <c r="J34" s="489" t="e">
        <f t="shared" ref="J34:J59" si="5">H34+I34</f>
        <v>#REF!</v>
      </c>
      <c r="K34" s="451" t="e">
        <f>SUM(J34:J39)</f>
        <v>#REF!</v>
      </c>
      <c r="L34" s="398"/>
      <c r="M34" s="420">
        <v>0</v>
      </c>
      <c r="N34" s="446">
        <v>0</v>
      </c>
      <c r="O34" s="450">
        <v>0</v>
      </c>
      <c r="P34" s="449">
        <v>64126.395725395916</v>
      </c>
      <c r="Q34" s="512" t="e">
        <f t="shared" si="1"/>
        <v>#REF!</v>
      </c>
      <c r="R34" s="423">
        <f t="shared" si="1"/>
        <v>0</v>
      </c>
      <c r="S34" s="423" t="e">
        <f t="shared" si="3"/>
        <v>#REF!</v>
      </c>
      <c r="U34" s="1"/>
    </row>
    <row r="35" spans="2:26" x14ac:dyDescent="0.25">
      <c r="B35" s="2" t="s">
        <v>36</v>
      </c>
      <c r="C35" s="15">
        <v>3141</v>
      </c>
      <c r="D35" s="4">
        <f>753+293</f>
        <v>1046</v>
      </c>
      <c r="E35" s="377"/>
      <c r="F35" s="507" t="e">
        <f>#REF!</f>
        <v>#REF!</v>
      </c>
      <c r="G35" s="13">
        <v>11250.281401722557</v>
      </c>
      <c r="H35" s="506" t="e">
        <f t="shared" si="2"/>
        <v>#REF!</v>
      </c>
      <c r="I35" s="419">
        <f t="shared" si="4"/>
        <v>6862.6716550507599</v>
      </c>
      <c r="J35" s="504" t="e">
        <f t="shared" si="5"/>
        <v>#REF!</v>
      </c>
      <c r="K35" s="33"/>
      <c r="L35" s="9"/>
      <c r="M35" s="421">
        <v>6497.5575808088324</v>
      </c>
      <c r="N35" s="444">
        <v>7184.8333395036134</v>
      </c>
      <c r="O35" s="447">
        <v>12349.246264086742</v>
      </c>
      <c r="P35" s="448"/>
      <c r="Q35" s="512" t="e">
        <f t="shared" si="1"/>
        <v>#REF!</v>
      </c>
      <c r="R35" s="423">
        <f t="shared" si="1"/>
        <v>-322.16168445285348</v>
      </c>
      <c r="S35" s="423" t="e">
        <f t="shared" si="3"/>
        <v>#REF!</v>
      </c>
      <c r="U35" s="1"/>
    </row>
    <row r="36" spans="2:26" x14ac:dyDescent="0.25">
      <c r="B36" s="2" t="s">
        <v>7</v>
      </c>
      <c r="C36" s="15">
        <v>3142</v>
      </c>
      <c r="D36" s="4">
        <v>0</v>
      </c>
      <c r="E36" s="377">
        <v>-115</v>
      </c>
      <c r="F36" s="507" t="e">
        <f>#REF!</f>
        <v>#REF!</v>
      </c>
      <c r="G36" s="13">
        <v>11563.585079025757</v>
      </c>
      <c r="H36" s="506" t="e">
        <f t="shared" si="2"/>
        <v>#REF!</v>
      </c>
      <c r="I36" s="419">
        <f>G36*(1-0.39)-546</f>
        <v>6507.7868982057116</v>
      </c>
      <c r="J36" s="504" t="e">
        <f t="shared" si="5"/>
        <v>#REF!</v>
      </c>
      <c r="K36" s="33"/>
      <c r="L36" s="9"/>
      <c r="M36" s="421">
        <v>9454.650033691607</v>
      </c>
      <c r="N36" s="444">
        <v>5524.1407539339307</v>
      </c>
      <c r="O36" s="447">
        <v>14481.322753982948</v>
      </c>
      <c r="P36" s="448"/>
      <c r="Q36" s="512" t="e">
        <f t="shared" si="1"/>
        <v>#REF!</v>
      </c>
      <c r="R36" s="423">
        <f t="shared" si="1"/>
        <v>983.64614427178094</v>
      </c>
      <c r="S36" s="423" t="e">
        <f t="shared" si="3"/>
        <v>#REF!</v>
      </c>
      <c r="U36" s="1"/>
    </row>
    <row r="37" spans="2:26" x14ac:dyDescent="0.25">
      <c r="B37" s="2" t="s">
        <v>37</v>
      </c>
      <c r="C37" s="15">
        <v>3143</v>
      </c>
      <c r="D37" s="4">
        <f>3559+329</f>
        <v>3888</v>
      </c>
      <c r="E37" s="377"/>
      <c r="F37" s="507" t="e">
        <f>#REF!</f>
        <v>#REF!</v>
      </c>
      <c r="G37" s="13">
        <v>9597.8050347224689</v>
      </c>
      <c r="H37" s="506" t="e">
        <f t="shared" si="2"/>
        <v>#REF!</v>
      </c>
      <c r="I37" s="416">
        <f t="shared" si="4"/>
        <v>5854.6610711807061</v>
      </c>
      <c r="J37" s="504" t="e">
        <f t="shared" si="5"/>
        <v>#REF!</v>
      </c>
      <c r="K37" s="33"/>
      <c r="L37" s="9"/>
      <c r="M37" s="421">
        <v>13079.1764083299</v>
      </c>
      <c r="N37" s="444">
        <v>5872.5984965602311</v>
      </c>
      <c r="O37" s="447">
        <v>16711.311162587972</v>
      </c>
      <c r="P37" s="448"/>
      <c r="Q37" s="512" t="e">
        <f t="shared" si="1"/>
        <v>#REF!</v>
      </c>
      <c r="R37" s="423">
        <f t="shared" si="1"/>
        <v>-17.937425379524939</v>
      </c>
      <c r="S37" s="423" t="e">
        <f t="shared" si="3"/>
        <v>#REF!</v>
      </c>
      <c r="U37" s="1"/>
    </row>
    <row r="38" spans="2:26" ht="15.75" thickBot="1" x14ac:dyDescent="0.3">
      <c r="B38" s="2" t="s">
        <v>38</v>
      </c>
      <c r="C38" s="15">
        <v>3144</v>
      </c>
      <c r="D38" s="4">
        <v>116</v>
      </c>
      <c r="E38" s="377">
        <v>-6</v>
      </c>
      <c r="F38" s="507" t="e">
        <f>#REF!</f>
        <v>#REF!</v>
      </c>
      <c r="G38" s="13">
        <v>8971.2815526137401</v>
      </c>
      <c r="H38" s="506" t="e">
        <f t="shared" si="2"/>
        <v>#REF!</v>
      </c>
      <c r="I38" s="416">
        <f t="shared" si="4"/>
        <v>5472.4817470943817</v>
      </c>
      <c r="J38" s="504" t="e">
        <f t="shared" si="5"/>
        <v>#REF!</v>
      </c>
      <c r="K38" s="33"/>
      <c r="L38" s="9"/>
      <c r="M38" s="421">
        <v>3097.1253170530349</v>
      </c>
      <c r="N38" s="444">
        <v>5811.6035359000662</v>
      </c>
      <c r="O38" s="447">
        <v>8116.6421481699945</v>
      </c>
      <c r="P38" s="448"/>
      <c r="Q38" s="512" t="e">
        <f t="shared" si="1"/>
        <v>#REF!</v>
      </c>
      <c r="R38" s="423">
        <f t="shared" si="1"/>
        <v>-339.12178880568445</v>
      </c>
      <c r="S38" s="423" t="e">
        <f t="shared" si="3"/>
        <v>#REF!</v>
      </c>
    </row>
    <row r="39" spans="2:26" ht="15.75" thickBot="1" x14ac:dyDescent="0.3">
      <c r="B39" s="18" t="s">
        <v>39</v>
      </c>
      <c r="C39" s="19">
        <v>3145</v>
      </c>
      <c r="D39" s="4">
        <f>4178+1075</f>
        <v>5253</v>
      </c>
      <c r="E39" s="377"/>
      <c r="F39" s="507" t="e">
        <f>#REF!</f>
        <v>#REF!</v>
      </c>
      <c r="G39" s="13">
        <v>12566.816721782914</v>
      </c>
      <c r="H39" s="506" t="e">
        <f t="shared" si="2"/>
        <v>#REF!</v>
      </c>
      <c r="I39" s="416">
        <f t="shared" si="4"/>
        <v>7665.758200287577</v>
      </c>
      <c r="J39" s="503" t="e">
        <f t="shared" si="5"/>
        <v>#REF!</v>
      </c>
      <c r="K39" s="34"/>
      <c r="L39" s="9"/>
      <c r="M39" s="422">
        <v>6146.0379348674032</v>
      </c>
      <c r="N39" s="445">
        <v>7437.385335875003</v>
      </c>
      <c r="O39" s="447">
        <v>12467.873396568255</v>
      </c>
      <c r="P39" s="448"/>
      <c r="Q39" s="512" t="e">
        <f t="shared" si="1"/>
        <v>#REF!</v>
      </c>
      <c r="R39" s="423">
        <f t="shared" si="1"/>
        <v>228.37286441257402</v>
      </c>
      <c r="S39" s="423" t="e">
        <f t="shared" si="3"/>
        <v>#REF!</v>
      </c>
      <c r="U39" s="519" t="s">
        <v>140</v>
      </c>
      <c r="V39" s="520"/>
      <c r="W39" s="521"/>
      <c r="X39" s="514"/>
      <c r="Y39" s="514"/>
      <c r="Z39" s="522"/>
    </row>
    <row r="40" spans="2:26" ht="15.75" thickBot="1" x14ac:dyDescent="0.3">
      <c r="B40" s="20" t="s">
        <v>53</v>
      </c>
      <c r="C40" s="21">
        <v>3150</v>
      </c>
      <c r="D40" s="24">
        <v>0</v>
      </c>
      <c r="E40" s="426"/>
      <c r="F40" s="508" t="e">
        <f>#REF!</f>
        <v>#REF!</v>
      </c>
      <c r="G40" s="23">
        <v>0</v>
      </c>
      <c r="H40" s="508" t="e">
        <f t="shared" si="2"/>
        <v>#REF!</v>
      </c>
      <c r="I40" s="417">
        <f t="shared" si="4"/>
        <v>0</v>
      </c>
      <c r="J40" s="489" t="e">
        <f t="shared" si="5"/>
        <v>#REF!</v>
      </c>
      <c r="K40" s="451" t="e">
        <f>SUM(J40:J44)</f>
        <v>#REF!</v>
      </c>
      <c r="L40" s="398"/>
      <c r="M40" s="420">
        <v>0</v>
      </c>
      <c r="N40" s="446">
        <v>0</v>
      </c>
      <c r="O40" s="450">
        <v>0</v>
      </c>
      <c r="P40" s="449">
        <v>37334.471734964376</v>
      </c>
      <c r="Q40" s="512" t="e">
        <f t="shared" si="1"/>
        <v>#REF!</v>
      </c>
      <c r="R40" s="423">
        <f t="shared" si="1"/>
        <v>0</v>
      </c>
      <c r="S40" s="423" t="e">
        <f t="shared" si="3"/>
        <v>#REF!</v>
      </c>
      <c r="U40" s="523"/>
      <c r="V40" s="490">
        <v>2015</v>
      </c>
      <c r="W40" s="509">
        <v>2016</v>
      </c>
      <c r="X40" s="509" t="s">
        <v>141</v>
      </c>
      <c r="Y40" s="509" t="s">
        <v>144</v>
      </c>
      <c r="Z40" s="31" t="s">
        <v>143</v>
      </c>
    </row>
    <row r="41" spans="2:26" x14ac:dyDescent="0.25">
      <c r="B41" s="2" t="s">
        <v>40</v>
      </c>
      <c r="C41" s="15">
        <v>3151</v>
      </c>
      <c r="D41" s="4">
        <f>1546+35</f>
        <v>1581</v>
      </c>
      <c r="E41" s="377"/>
      <c r="F41" s="507" t="e">
        <f>#REF!</f>
        <v>#REF!</v>
      </c>
      <c r="G41" s="13">
        <v>21870.337275380192</v>
      </c>
      <c r="H41" s="506" t="e">
        <f>F41*(1-0.265)+Y41</f>
        <v>#REF!</v>
      </c>
      <c r="I41" s="416">
        <f t="shared" si="4"/>
        <v>13340.905737981917</v>
      </c>
      <c r="J41" s="504" t="e">
        <f t="shared" si="5"/>
        <v>#REF!</v>
      </c>
      <c r="K41" s="33"/>
      <c r="L41" s="9"/>
      <c r="M41" s="421">
        <v>1901.2252688782412</v>
      </c>
      <c r="N41" s="444">
        <v>12993.164562393344</v>
      </c>
      <c r="O41" s="447">
        <v>15684.828703419165</v>
      </c>
      <c r="P41" s="448"/>
      <c r="Q41" s="512" t="e">
        <f t="shared" si="1"/>
        <v>#REF!</v>
      </c>
      <c r="R41" s="423">
        <f t="shared" si="1"/>
        <v>347.74117558857324</v>
      </c>
      <c r="S41" s="423" t="e">
        <f t="shared" si="3"/>
        <v>#REF!</v>
      </c>
      <c r="U41" s="523" t="s">
        <v>40</v>
      </c>
      <c r="V41" s="490">
        <f>1587-870</f>
        <v>717</v>
      </c>
      <c r="W41" s="509">
        <f>1285</f>
        <v>1285</v>
      </c>
      <c r="X41" s="509">
        <f>W41-V41</f>
        <v>568</v>
      </c>
      <c r="Y41" s="510">
        <f>X41/X45*Y45</f>
        <v>576.15311004784689</v>
      </c>
      <c r="Z41" s="31">
        <v>870</v>
      </c>
    </row>
    <row r="42" spans="2:26" x14ac:dyDescent="0.25">
      <c r="B42" s="2" t="s">
        <v>41</v>
      </c>
      <c r="C42" s="15">
        <v>3152</v>
      </c>
      <c r="D42" s="4">
        <f>2103+5</f>
        <v>2108</v>
      </c>
      <c r="E42" s="377"/>
      <c r="F42" s="507" t="e">
        <f>#REF!</f>
        <v>#REF!</v>
      </c>
      <c r="G42" s="13">
        <v>6716.8908829455841</v>
      </c>
      <c r="H42" s="506" t="e">
        <f>F42*(1-0.265)</f>
        <v>#REF!</v>
      </c>
      <c r="I42" s="416">
        <f t="shared" si="4"/>
        <v>4097.3034385968058</v>
      </c>
      <c r="J42" s="504" t="e">
        <f t="shared" si="5"/>
        <v>#REF!</v>
      </c>
      <c r="K42" s="33"/>
      <c r="L42" s="9"/>
      <c r="M42" s="421">
        <v>2323.265048608841</v>
      </c>
      <c r="N42" s="444">
        <v>5291.9405604617004</v>
      </c>
      <c r="O42" s="447">
        <v>8235.6354777431225</v>
      </c>
      <c r="P42" s="448"/>
      <c r="Q42" s="512" t="e">
        <f t="shared" si="1"/>
        <v>#REF!</v>
      </c>
      <c r="R42" s="423">
        <f t="shared" si="1"/>
        <v>-1194.6371218648947</v>
      </c>
      <c r="S42" s="423" t="e">
        <f t="shared" si="3"/>
        <v>#REF!</v>
      </c>
      <c r="U42" s="523"/>
      <c r="V42" s="509"/>
      <c r="W42" s="490"/>
      <c r="X42" s="509"/>
      <c r="Y42" s="509"/>
      <c r="Z42" s="31"/>
    </row>
    <row r="43" spans="2:26" x14ac:dyDescent="0.25">
      <c r="B43" s="2" t="s">
        <v>8</v>
      </c>
      <c r="C43" s="15">
        <v>3153</v>
      </c>
      <c r="D43" s="4">
        <v>5179</v>
      </c>
      <c r="E43" s="377"/>
      <c r="F43" s="507" t="e">
        <f>#REF!</f>
        <v>#REF!</v>
      </c>
      <c r="G43" s="13">
        <v>6735.3084729688871</v>
      </c>
      <c r="H43" s="506" t="e">
        <f>F43*(1-0.265)+Y43</f>
        <v>#REF!</v>
      </c>
      <c r="I43" s="416">
        <f t="shared" si="4"/>
        <v>4108.5381685110215</v>
      </c>
      <c r="J43" s="504" t="e">
        <f t="shared" si="5"/>
        <v>#REF!</v>
      </c>
      <c r="K43" s="33"/>
      <c r="L43" s="9"/>
      <c r="M43" s="421">
        <v>2080.7673119924257</v>
      </c>
      <c r="N43" s="444">
        <v>4009.67849833011</v>
      </c>
      <c r="O43" s="447">
        <v>6555.9489508674978</v>
      </c>
      <c r="P43" s="448"/>
      <c r="Q43" s="512" t="e">
        <f t="shared" si="1"/>
        <v>#REF!</v>
      </c>
      <c r="R43" s="423">
        <f t="shared" si="1"/>
        <v>98.859670180911507</v>
      </c>
      <c r="S43" s="423" t="e">
        <f t="shared" si="3"/>
        <v>#REF!</v>
      </c>
      <c r="U43" s="523" t="s">
        <v>8</v>
      </c>
      <c r="V43" s="490">
        <f>2242-1229</f>
        <v>1013</v>
      </c>
      <c r="W43" s="509">
        <v>1520</v>
      </c>
      <c r="X43" s="509">
        <f t="shared" ref="X43:X44" si="6">W43-V43</f>
        <v>507</v>
      </c>
      <c r="Y43" s="510">
        <f>X43/X45*Y45</f>
        <v>514.27751196172244</v>
      </c>
      <c r="Z43" s="31">
        <v>1229</v>
      </c>
    </row>
    <row r="44" spans="2:26" ht="15.75" thickBot="1" x14ac:dyDescent="0.3">
      <c r="B44" s="368" t="s">
        <v>42</v>
      </c>
      <c r="C44" s="369">
        <v>3154</v>
      </c>
      <c r="D44" s="4">
        <v>455</v>
      </c>
      <c r="E44" s="377">
        <v>-145</v>
      </c>
      <c r="F44" s="507" t="e">
        <f>#REF!</f>
        <v>#REF!</v>
      </c>
      <c r="G44" s="13">
        <v>12297.327504879631</v>
      </c>
      <c r="H44" s="506" t="e">
        <f>F44*(1-0.265)+Y44</f>
        <v>#REF!</v>
      </c>
      <c r="I44" s="418">
        <f t="shared" si="4"/>
        <v>7501.3697779765753</v>
      </c>
      <c r="J44" s="502" t="e">
        <f t="shared" si="5"/>
        <v>#REF!</v>
      </c>
      <c r="K44" s="34"/>
      <c r="L44" s="9"/>
      <c r="M44" s="422">
        <v>476.15187412357591</v>
      </c>
      <c r="N44" s="445">
        <v>6813.972502163072</v>
      </c>
      <c r="O44" s="447">
        <v>6858.0586029345905</v>
      </c>
      <c r="P44" s="448"/>
      <c r="Q44" s="512" t="e">
        <f t="shared" si="1"/>
        <v>#REF!</v>
      </c>
      <c r="R44" s="423">
        <f t="shared" si="1"/>
        <v>687.39727581350326</v>
      </c>
      <c r="S44" s="423" t="e">
        <f t="shared" si="3"/>
        <v>#REF!</v>
      </c>
      <c r="U44" s="523" t="s">
        <v>42</v>
      </c>
      <c r="V44" s="490">
        <f>244-137</f>
        <v>107</v>
      </c>
      <c r="W44" s="509">
        <v>286</v>
      </c>
      <c r="X44" s="509">
        <f t="shared" si="6"/>
        <v>179</v>
      </c>
      <c r="Y44" s="510">
        <f>X44/X45*Y45</f>
        <v>181.56937799043064</v>
      </c>
      <c r="Z44" s="31">
        <v>137</v>
      </c>
    </row>
    <row r="45" spans="2:26" ht="15.75" thickBot="1" x14ac:dyDescent="0.3">
      <c r="B45" s="20" t="s">
        <v>10</v>
      </c>
      <c r="C45" s="21">
        <v>3137</v>
      </c>
      <c r="D45" s="24">
        <v>607</v>
      </c>
      <c r="E45" s="425"/>
      <c r="F45" s="508" t="e">
        <f>#REF!</f>
        <v>#REF!</v>
      </c>
      <c r="G45" s="427">
        <v>0</v>
      </c>
      <c r="H45" s="508" t="e">
        <f t="shared" ref="H45:H58" si="7">F45*(1-0.265)</f>
        <v>#REF!</v>
      </c>
      <c r="I45" s="417">
        <f t="shared" si="4"/>
        <v>0</v>
      </c>
      <c r="J45" s="489" t="e">
        <f t="shared" si="5"/>
        <v>#REF!</v>
      </c>
      <c r="K45" s="451" t="e">
        <f>SUM(J45:J51)</f>
        <v>#REF!</v>
      </c>
      <c r="L45" s="398"/>
      <c r="M45" s="420">
        <v>61.363214001610871</v>
      </c>
      <c r="N45" s="446">
        <v>0</v>
      </c>
      <c r="O45" s="450">
        <v>0</v>
      </c>
      <c r="P45" s="449">
        <v>28426.183714082264</v>
      </c>
      <c r="Q45" s="512" t="e">
        <f t="shared" si="1"/>
        <v>#REF!</v>
      </c>
      <c r="R45" s="423">
        <f t="shared" si="1"/>
        <v>0</v>
      </c>
      <c r="S45" s="423" t="e">
        <f>Q45+R45</f>
        <v>#REF!</v>
      </c>
      <c r="U45" s="523"/>
      <c r="V45" s="490"/>
      <c r="W45" s="509"/>
      <c r="X45" s="509">
        <f>SUM(X41:X44)</f>
        <v>1254</v>
      </c>
      <c r="Y45" s="510">
        <f>188275-187003</f>
        <v>1272</v>
      </c>
      <c r="Z45" s="31">
        <f>SUM(Z41:Z44)</f>
        <v>2236</v>
      </c>
    </row>
    <row r="46" spans="2:26" ht="15.75" thickBot="1" x14ac:dyDescent="0.3">
      <c r="B46" s="2" t="s">
        <v>149</v>
      </c>
      <c r="C46" s="15">
        <v>3701</v>
      </c>
      <c r="D46" s="4">
        <f>20+223</f>
        <v>243</v>
      </c>
      <c r="E46" s="377"/>
      <c r="F46" s="507" t="e">
        <f>#REF!</f>
        <v>#REF!</v>
      </c>
      <c r="G46" s="13">
        <v>0</v>
      </c>
      <c r="H46" s="506" t="e">
        <f>F46*(1-0.265)+132.83*V20*(1-0.265)</f>
        <v>#REF!</v>
      </c>
      <c r="I46" s="416">
        <v>1068</v>
      </c>
      <c r="J46" s="504" t="e">
        <f t="shared" si="5"/>
        <v>#REF!</v>
      </c>
      <c r="K46" s="33"/>
      <c r="L46" s="9"/>
      <c r="M46" s="421">
        <v>2384.7565833162662</v>
      </c>
      <c r="N46" s="444">
        <v>1068</v>
      </c>
      <c r="O46" s="447">
        <v>3831.5406702220525</v>
      </c>
      <c r="P46" s="448"/>
      <c r="Q46" s="512" t="e">
        <f t="shared" si="1"/>
        <v>#REF!</v>
      </c>
      <c r="R46" s="423">
        <f t="shared" si="1"/>
        <v>0</v>
      </c>
      <c r="S46" s="423" t="e">
        <f>Q46+R46</f>
        <v>#REF!</v>
      </c>
      <c r="U46" s="524"/>
      <c r="V46" s="525" t="s">
        <v>142</v>
      </c>
      <c r="W46" s="525"/>
      <c r="X46" s="525"/>
      <c r="Y46" s="526">
        <v>5.0000000000000001E-3</v>
      </c>
      <c r="Z46" s="32"/>
    </row>
    <row r="47" spans="2:26" x14ac:dyDescent="0.25">
      <c r="B47" s="2" t="s">
        <v>148</v>
      </c>
      <c r="C47" s="15">
        <v>3702</v>
      </c>
      <c r="D47" s="4">
        <f>2074+2</f>
        <v>2076</v>
      </c>
      <c r="E47" s="377"/>
      <c r="F47" s="507" t="e">
        <f>#REF!</f>
        <v>#REF!</v>
      </c>
      <c r="G47" s="13">
        <v>0</v>
      </c>
      <c r="H47" s="506" t="e">
        <f t="shared" si="7"/>
        <v>#REF!</v>
      </c>
      <c r="I47" s="419">
        <v>2000</v>
      </c>
      <c r="J47" s="504" t="e">
        <f t="shared" si="5"/>
        <v>#REF!</v>
      </c>
      <c r="K47" s="33"/>
      <c r="L47" s="9"/>
      <c r="M47" s="421">
        <v>4265.3798709229022</v>
      </c>
      <c r="N47" s="444">
        <v>2000</v>
      </c>
      <c r="O47" s="447">
        <v>6275.5902733890662</v>
      </c>
      <c r="P47" s="448"/>
      <c r="Q47" s="512" t="e">
        <f t="shared" si="1"/>
        <v>#REF!</v>
      </c>
      <c r="R47" s="423">
        <f t="shared" si="1"/>
        <v>0</v>
      </c>
      <c r="S47" s="423" t="e">
        <f t="shared" si="3"/>
        <v>#REF!</v>
      </c>
      <c r="W47" s="61"/>
    </row>
    <row r="48" spans="2:26" x14ac:dyDescent="0.25">
      <c r="B48" s="2" t="s">
        <v>25</v>
      </c>
      <c r="C48" s="15">
        <v>3703</v>
      </c>
      <c r="D48" s="4">
        <v>65</v>
      </c>
      <c r="E48" s="377"/>
      <c r="F48" s="507" t="e">
        <f>#REF!</f>
        <v>#REF!</v>
      </c>
      <c r="G48" s="13">
        <v>0</v>
      </c>
      <c r="H48" s="506" t="e">
        <f t="shared" si="7"/>
        <v>#REF!</v>
      </c>
      <c r="I48" s="419">
        <v>546</v>
      </c>
      <c r="J48" s="504" t="e">
        <f t="shared" si="5"/>
        <v>#REF!</v>
      </c>
      <c r="K48" s="33"/>
      <c r="L48" s="9"/>
      <c r="M48" s="421">
        <v>5494.1053833514043</v>
      </c>
      <c r="N48" s="444">
        <v>546</v>
      </c>
      <c r="O48" s="447">
        <v>5834.6783468201438</v>
      </c>
      <c r="P48" s="448"/>
      <c r="Q48" s="512" t="e">
        <f t="shared" si="1"/>
        <v>#REF!</v>
      </c>
      <c r="R48" s="423">
        <f t="shared" si="1"/>
        <v>0</v>
      </c>
      <c r="S48" s="423" t="e">
        <f t="shared" si="3"/>
        <v>#REF!</v>
      </c>
      <c r="W48" s="61"/>
    </row>
    <row r="49" spans="2:23" x14ac:dyDescent="0.25">
      <c r="B49" s="2" t="s">
        <v>150</v>
      </c>
      <c r="C49" s="15">
        <v>3704</v>
      </c>
      <c r="D49" s="4">
        <f>541+1357</f>
        <v>1898</v>
      </c>
      <c r="E49" s="377"/>
      <c r="F49" s="507" t="e">
        <f>#REF!</f>
        <v>#REF!</v>
      </c>
      <c r="G49" s="13">
        <v>0</v>
      </c>
      <c r="H49" s="506" t="e">
        <f>F49*(1-0.265)+356.09*V20*(1-0.265)</f>
        <v>#REF!</v>
      </c>
      <c r="I49" s="416">
        <v>1775</v>
      </c>
      <c r="J49" s="504" t="e">
        <f t="shared" si="5"/>
        <v>#REF!</v>
      </c>
      <c r="K49" s="33"/>
      <c r="L49" s="9"/>
      <c r="M49" s="421">
        <v>4247.1288031672029</v>
      </c>
      <c r="N49" s="444">
        <v>1775</v>
      </c>
      <c r="O49" s="447">
        <v>5523.0853092256493</v>
      </c>
      <c r="P49" s="448"/>
      <c r="Q49" s="512" t="e">
        <f t="shared" si="1"/>
        <v>#REF!</v>
      </c>
      <c r="R49" s="423">
        <f t="shared" si="1"/>
        <v>0</v>
      </c>
      <c r="S49" s="423" t="e">
        <f t="shared" si="3"/>
        <v>#REF!</v>
      </c>
      <c r="W49" s="61"/>
    </row>
    <row r="50" spans="2:23" x14ac:dyDescent="0.25">
      <c r="B50" s="368" t="s">
        <v>151</v>
      </c>
      <c r="C50" s="369">
        <v>3705</v>
      </c>
      <c r="D50" s="4">
        <v>1347</v>
      </c>
      <c r="E50" s="377"/>
      <c r="F50" s="507" t="e">
        <f>#REF!</f>
        <v>#REF!</v>
      </c>
      <c r="G50" s="13">
        <v>5219</v>
      </c>
      <c r="H50" s="506" t="e">
        <f t="shared" si="7"/>
        <v>#REF!</v>
      </c>
      <c r="I50" s="418">
        <f>(G50*(1-0.39))+140</f>
        <v>3323.59</v>
      </c>
      <c r="J50" s="502" t="e">
        <f t="shared" si="5"/>
        <v>#REF!</v>
      </c>
      <c r="K50" s="33"/>
      <c r="L50" s="9"/>
      <c r="M50" s="421">
        <v>7919.7880737953637</v>
      </c>
      <c r="N50" s="444">
        <v>2281.1632645638902</v>
      </c>
      <c r="O50" s="447">
        <v>6012.4282232498144</v>
      </c>
      <c r="P50" s="448"/>
      <c r="Q50" s="512" t="e">
        <f t="shared" si="1"/>
        <v>#REF!</v>
      </c>
      <c r="R50" s="423">
        <f t="shared" si="1"/>
        <v>1042.42673543611</v>
      </c>
      <c r="S50" s="423" t="e">
        <f t="shared" si="3"/>
        <v>#REF!</v>
      </c>
    </row>
    <row r="51" spans="2:23" ht="15.75" thickBot="1" x14ac:dyDescent="0.3">
      <c r="B51" s="18" t="s">
        <v>127</v>
      </c>
      <c r="C51" s="19">
        <v>3706</v>
      </c>
      <c r="D51" s="4">
        <f>51+11</f>
        <v>62</v>
      </c>
      <c r="E51" s="377"/>
      <c r="F51" s="507" t="e">
        <f>#REF!</f>
        <v>#REF!</v>
      </c>
      <c r="G51" s="487">
        <v>0</v>
      </c>
      <c r="H51" s="506" t="e">
        <f t="shared" si="7"/>
        <v>#REF!</v>
      </c>
      <c r="I51" s="418">
        <v>470</v>
      </c>
      <c r="J51" s="502" t="e">
        <f t="shared" si="5"/>
        <v>#REF!</v>
      </c>
      <c r="K51" s="33"/>
      <c r="L51" s="9"/>
      <c r="M51" s="422">
        <v>900.60499212311515</v>
      </c>
      <c r="N51" s="445">
        <v>470</v>
      </c>
      <c r="O51" s="447">
        <v>948.86089117553865</v>
      </c>
      <c r="P51" s="448"/>
      <c r="Q51" s="512" t="e">
        <f t="shared" si="1"/>
        <v>#REF!</v>
      </c>
      <c r="R51" s="423">
        <f t="shared" si="1"/>
        <v>0</v>
      </c>
      <c r="S51" s="423" t="e">
        <f t="shared" si="3"/>
        <v>#REF!</v>
      </c>
    </row>
    <row r="52" spans="2:23" ht="15.75" thickBot="1" x14ac:dyDescent="0.3">
      <c r="B52" s="20" t="s">
        <v>15</v>
      </c>
      <c r="C52" s="21">
        <v>3720</v>
      </c>
      <c r="D52" s="24">
        <f>598+1196</f>
        <v>1794</v>
      </c>
      <c r="E52" s="425"/>
      <c r="F52" s="427" t="e">
        <f>#REF!</f>
        <v>#REF!</v>
      </c>
      <c r="G52" s="427">
        <v>0</v>
      </c>
      <c r="H52" s="508" t="e">
        <f t="shared" si="7"/>
        <v>#REF!</v>
      </c>
      <c r="I52" s="417">
        <f>G52*(1-0.39)</f>
        <v>0</v>
      </c>
      <c r="J52" s="489" t="e">
        <f t="shared" si="5"/>
        <v>#REF!</v>
      </c>
      <c r="K52" s="451" t="e">
        <f>SUM(J52:J59)</f>
        <v>#REF!</v>
      </c>
      <c r="L52" s="398"/>
      <c r="M52" s="420">
        <v>38.726682017282812</v>
      </c>
      <c r="N52" s="446">
        <v>0</v>
      </c>
      <c r="O52" s="450">
        <v>0</v>
      </c>
      <c r="P52" s="449">
        <v>57479.712282494183</v>
      </c>
      <c r="Q52" s="512" t="e">
        <f t="shared" si="1"/>
        <v>#REF!</v>
      </c>
      <c r="R52" s="423">
        <f t="shared" si="1"/>
        <v>0</v>
      </c>
      <c r="S52" s="423" t="e">
        <f t="shared" si="3"/>
        <v>#REF!</v>
      </c>
    </row>
    <row r="53" spans="2:23" x14ac:dyDescent="0.25">
      <c r="B53" s="2" t="s">
        <v>147</v>
      </c>
      <c r="C53" s="15">
        <v>3721</v>
      </c>
      <c r="D53" s="4">
        <v>0</v>
      </c>
      <c r="E53" s="377"/>
      <c r="F53" s="507" t="e">
        <f>#REF!</f>
        <v>#REF!</v>
      </c>
      <c r="G53" s="13">
        <v>0</v>
      </c>
      <c r="H53" s="506" t="e">
        <f>SUM(F53+F54+F57)*(1-0.265)*0.15</f>
        <v>#REF!</v>
      </c>
      <c r="I53" s="419">
        <f t="shared" ref="I53" si="8">(G53*(1-0.39))</f>
        <v>0</v>
      </c>
      <c r="J53" s="504" t="e">
        <f t="shared" si="5"/>
        <v>#REF!</v>
      </c>
      <c r="K53" s="33"/>
      <c r="L53" s="9"/>
      <c r="M53" s="421">
        <v>5687.4368148365547</v>
      </c>
      <c r="N53" s="444">
        <v>0</v>
      </c>
      <c r="O53" s="447">
        <v>6964.9295567123818</v>
      </c>
      <c r="P53" s="448"/>
      <c r="Q53" s="512" t="e">
        <f t="shared" si="1"/>
        <v>#REF!</v>
      </c>
      <c r="R53" s="423">
        <f t="shared" si="1"/>
        <v>0</v>
      </c>
      <c r="S53" s="423" t="e">
        <f t="shared" si="3"/>
        <v>#REF!</v>
      </c>
    </row>
    <row r="54" spans="2:23" x14ac:dyDescent="0.25">
      <c r="B54" s="2" t="s">
        <v>17</v>
      </c>
      <c r="C54" s="15">
        <v>3722</v>
      </c>
      <c r="D54" s="4">
        <f>171+2501</f>
        <v>2672</v>
      </c>
      <c r="E54" s="377"/>
      <c r="F54" s="507" t="e">
        <f>#REF!</f>
        <v>#REF!</v>
      </c>
      <c r="G54" s="13">
        <v>0</v>
      </c>
      <c r="H54" s="506" t="e">
        <f>SUM(F53+F54+F57)*(1-0.265)*0.462</f>
        <v>#REF!</v>
      </c>
      <c r="I54" s="419">
        <f>2187*0.54</f>
        <v>1180.98</v>
      </c>
      <c r="J54" s="504" t="e">
        <f t="shared" si="5"/>
        <v>#REF!</v>
      </c>
      <c r="K54" s="33"/>
      <c r="L54" s="9"/>
      <c r="M54" s="421">
        <v>17517.30538969659</v>
      </c>
      <c r="N54" s="444">
        <v>1180.98</v>
      </c>
      <c r="O54" s="447">
        <v>17360.301252376215</v>
      </c>
      <c r="P54" s="448"/>
      <c r="Q54" s="512" t="e">
        <f t="shared" si="1"/>
        <v>#REF!</v>
      </c>
      <c r="R54" s="423">
        <f t="shared" si="1"/>
        <v>0</v>
      </c>
      <c r="S54" s="423" t="e">
        <f t="shared" si="3"/>
        <v>#REF!</v>
      </c>
    </row>
    <row r="55" spans="2:23" x14ac:dyDescent="0.25">
      <c r="B55" s="2" t="s">
        <v>18</v>
      </c>
      <c r="C55" s="15">
        <v>3723</v>
      </c>
      <c r="D55" s="4">
        <f>3092+1230</f>
        <v>4322</v>
      </c>
      <c r="E55" s="377"/>
      <c r="F55" s="507" t="e">
        <f>#REF!</f>
        <v>#REF!</v>
      </c>
      <c r="G55" s="13">
        <v>0</v>
      </c>
      <c r="H55" s="506" t="e">
        <f t="shared" si="7"/>
        <v>#REF!</v>
      </c>
      <c r="I55" s="419">
        <v>200</v>
      </c>
      <c r="J55" s="504" t="e">
        <f t="shared" si="5"/>
        <v>#REF!</v>
      </c>
      <c r="K55" s="33"/>
      <c r="L55" s="9"/>
      <c r="M55" s="421">
        <v>8607.9958152827367</v>
      </c>
      <c r="N55" s="444">
        <v>200</v>
      </c>
      <c r="O55" s="447">
        <v>7098.246168129529</v>
      </c>
      <c r="P55" s="448"/>
      <c r="Q55" s="512" t="e">
        <f t="shared" si="1"/>
        <v>#REF!</v>
      </c>
      <c r="R55" s="423">
        <f t="shared" si="1"/>
        <v>0</v>
      </c>
      <c r="S55" s="423" t="e">
        <f t="shared" si="3"/>
        <v>#REF!</v>
      </c>
    </row>
    <row r="56" spans="2:23" x14ac:dyDescent="0.25">
      <c r="B56" s="2" t="s">
        <v>19</v>
      </c>
      <c r="C56" s="15">
        <v>3724</v>
      </c>
      <c r="D56" s="4">
        <f>9666+129</f>
        <v>9795</v>
      </c>
      <c r="E56" s="377">
        <v>0</v>
      </c>
      <c r="F56" s="507" t="e">
        <f>#REF!</f>
        <v>#REF!</v>
      </c>
      <c r="G56" s="13">
        <v>0</v>
      </c>
      <c r="H56" s="506" t="e">
        <f t="shared" si="7"/>
        <v>#REF!</v>
      </c>
      <c r="I56" s="419">
        <f>543</f>
        <v>543</v>
      </c>
      <c r="J56" s="504" t="e">
        <f t="shared" si="5"/>
        <v>#REF!</v>
      </c>
      <c r="K56" s="33"/>
      <c r="L56" s="9"/>
      <c r="M56" s="421">
        <v>9169.2297885199987</v>
      </c>
      <c r="N56" s="444">
        <v>543</v>
      </c>
      <c r="O56" s="447">
        <v>11952.130803190717</v>
      </c>
      <c r="P56" s="448"/>
      <c r="Q56" s="512" t="e">
        <f t="shared" si="1"/>
        <v>#REF!</v>
      </c>
      <c r="R56" s="423">
        <f t="shared" si="1"/>
        <v>0</v>
      </c>
      <c r="S56" s="423" t="e">
        <f t="shared" si="3"/>
        <v>#REF!</v>
      </c>
    </row>
    <row r="57" spans="2:23" x14ac:dyDescent="0.25">
      <c r="B57" s="2" t="s">
        <v>145</v>
      </c>
      <c r="C57" s="15">
        <v>3725</v>
      </c>
      <c r="D57" s="4">
        <v>1238</v>
      </c>
      <c r="E57" s="377">
        <v>0</v>
      </c>
      <c r="F57" s="507" t="e">
        <f>#REF!</f>
        <v>#REF!</v>
      </c>
      <c r="G57" s="13">
        <v>0</v>
      </c>
      <c r="H57" s="506" t="e">
        <f>SUM(F53+F54+F57)*(1-0.26)*0.153</f>
        <v>#REF!</v>
      </c>
      <c r="I57" s="419">
        <f>2187*0.15</f>
        <v>328.05</v>
      </c>
      <c r="J57" s="504" t="e">
        <f t="shared" si="5"/>
        <v>#REF!</v>
      </c>
      <c r="K57" s="33"/>
      <c r="L57" s="9"/>
      <c r="M57" s="421">
        <v>5840.6493984199069</v>
      </c>
      <c r="N57" s="444">
        <v>328.05</v>
      </c>
      <c r="O57" s="447">
        <v>8107.2789491618014</v>
      </c>
      <c r="P57" s="448"/>
      <c r="Q57" s="512" t="e">
        <f t="shared" si="1"/>
        <v>#REF!</v>
      </c>
      <c r="R57" s="423">
        <f t="shared" si="1"/>
        <v>0</v>
      </c>
      <c r="S57" s="423" t="e">
        <f t="shared" si="3"/>
        <v>#REF!</v>
      </c>
    </row>
    <row r="58" spans="2:23" x14ac:dyDescent="0.25">
      <c r="B58" s="2" t="s">
        <v>21</v>
      </c>
      <c r="C58" s="465">
        <v>3726</v>
      </c>
      <c r="D58" s="4">
        <f>192+150</f>
        <v>342</v>
      </c>
      <c r="E58" s="377">
        <v>0</v>
      </c>
      <c r="F58" s="507" t="e">
        <f>#REF!</f>
        <v>#REF!</v>
      </c>
      <c r="G58" s="13">
        <v>0</v>
      </c>
      <c r="H58" s="506" t="e">
        <f t="shared" si="7"/>
        <v>#REF!</v>
      </c>
      <c r="I58" s="419">
        <v>1500</v>
      </c>
      <c r="J58" s="498" t="e">
        <f t="shared" si="5"/>
        <v>#REF!</v>
      </c>
      <c r="K58" s="33"/>
      <c r="L58" s="9"/>
      <c r="M58" s="421">
        <v>5455.5008261417579</v>
      </c>
      <c r="N58" s="444">
        <v>1500</v>
      </c>
      <c r="O58" s="447">
        <v>5996.8255529235412</v>
      </c>
      <c r="P58" s="448"/>
      <c r="Q58" s="529" t="e">
        <f t="shared" si="1"/>
        <v>#REF!</v>
      </c>
      <c r="R58" s="423">
        <f t="shared" si="1"/>
        <v>0</v>
      </c>
      <c r="S58" s="423" t="e">
        <f t="shared" si="3"/>
        <v>#REF!</v>
      </c>
    </row>
    <row r="59" spans="2:23" ht="15.75" thickBot="1" x14ac:dyDescent="0.3">
      <c r="B59" s="460" t="s">
        <v>146</v>
      </c>
      <c r="C59" s="461">
        <v>3727</v>
      </c>
      <c r="D59" s="462">
        <v>1053</v>
      </c>
      <c r="E59" s="478">
        <v>0</v>
      </c>
      <c r="F59" s="507" t="e">
        <f>#REF!</f>
        <v>#REF!</v>
      </c>
      <c r="G59" s="463">
        <v>0</v>
      </c>
      <c r="H59" s="507" t="e">
        <f>SUM(F53+F54+F57)*(1-0.265)*0.234</f>
        <v>#REF!</v>
      </c>
      <c r="I59" s="464">
        <f>2187*0.31</f>
        <v>677.97</v>
      </c>
      <c r="J59" s="501" t="e">
        <f t="shared" si="5"/>
        <v>#REF!</v>
      </c>
      <c r="K59" s="34"/>
      <c r="L59" s="9"/>
      <c r="M59" s="533">
        <v>8872.4014311450264</v>
      </c>
      <c r="N59" s="532">
        <v>677.97</v>
      </c>
      <c r="O59" s="531">
        <v>0</v>
      </c>
      <c r="P59" s="532"/>
      <c r="Q59" s="431" t="e">
        <f t="shared" si="1"/>
        <v>#REF!</v>
      </c>
      <c r="R59" s="412">
        <f t="shared" si="1"/>
        <v>0</v>
      </c>
      <c r="S59" s="412" t="e">
        <f t="shared" si="3"/>
        <v>#REF!</v>
      </c>
    </row>
    <row r="60" spans="2:23" ht="15.75" hidden="1" thickBot="1" x14ac:dyDescent="0.3">
      <c r="B60" s="28" t="s">
        <v>128</v>
      </c>
      <c r="C60" s="15">
        <v>3900</v>
      </c>
      <c r="D60" s="414"/>
      <c r="E60" s="389"/>
      <c r="F60" s="10" t="s">
        <v>51</v>
      </c>
      <c r="G60" s="14"/>
      <c r="H60" s="12"/>
      <c r="I60" s="11"/>
      <c r="J60" s="500"/>
      <c r="K60" s="33"/>
      <c r="L60" s="393"/>
      <c r="O60" s="411"/>
    </row>
    <row r="61" spans="2:23" ht="15.75" hidden="1" thickBot="1" x14ac:dyDescent="0.3">
      <c r="B61" s="28" t="s">
        <v>130</v>
      </c>
      <c r="C61" s="15">
        <v>3900</v>
      </c>
      <c r="D61" s="377"/>
      <c r="E61" s="389"/>
      <c r="F61" s="10" t="s">
        <v>51</v>
      </c>
      <c r="G61" s="14"/>
      <c r="H61" s="12"/>
      <c r="I61" s="11"/>
      <c r="J61" s="500"/>
      <c r="K61" s="33"/>
      <c r="L61" s="393"/>
      <c r="O61" s="411"/>
    </row>
    <row r="62" spans="2:23" ht="15.75" thickBot="1" x14ac:dyDescent="0.3">
      <c r="B62" s="481" t="s">
        <v>63</v>
      </c>
      <c r="C62" s="482"/>
      <c r="D62" s="483">
        <f>D18+D17+D14+D13</f>
        <v>97187</v>
      </c>
      <c r="E62" s="483">
        <f t="shared" ref="E62" si="9">E18+E17+E14+E13</f>
        <v>0</v>
      </c>
      <c r="F62" s="483" t="e">
        <f>SUM(F19:F58)+F16</f>
        <v>#REF!</v>
      </c>
      <c r="G62" s="483">
        <f>SUM(G19:G58)+G17</f>
        <v>246418.60813955218</v>
      </c>
      <c r="H62" s="483" t="e">
        <f>SUM(H19:H59)+H16</f>
        <v>#REF!</v>
      </c>
      <c r="I62" s="484">
        <f>SUM(I20:I59)+I17</f>
        <v>150315.3509651268</v>
      </c>
      <c r="J62" s="499" t="e">
        <f>SUM(J20:J61)+J17</f>
        <v>#REF!</v>
      </c>
      <c r="K62" s="388"/>
      <c r="L62" s="399"/>
      <c r="O62" s="411"/>
      <c r="W62" s="61"/>
    </row>
    <row r="63" spans="2:23" x14ac:dyDescent="0.25">
      <c r="B63" s="6"/>
      <c r="D63" s="398"/>
      <c r="E63" s="488" t="s">
        <v>160</v>
      </c>
      <c r="F63" s="8"/>
      <c r="H63" s="9"/>
      <c r="I63" s="29"/>
      <c r="J63" s="459"/>
      <c r="K63" s="8"/>
      <c r="L63" s="9"/>
      <c r="W63" s="61"/>
    </row>
    <row r="64" spans="2:23" x14ac:dyDescent="0.25">
      <c r="R64" s="411"/>
      <c r="S64" s="411"/>
    </row>
    <row r="65" spans="2:23" hidden="1" x14ac:dyDescent="0.25">
      <c r="H65" s="8"/>
      <c r="I65" s="8"/>
      <c r="J65" s="1">
        <f>H65+I65</f>
        <v>0</v>
      </c>
      <c r="R65" s="413"/>
      <c r="S65" s="413"/>
      <c r="W65" s="61"/>
    </row>
    <row r="66" spans="2:23" hidden="1" x14ac:dyDescent="0.25">
      <c r="B66" s="364" t="s">
        <v>126</v>
      </c>
      <c r="C66" s="364"/>
      <c r="D66" s="364"/>
      <c r="E66" s="479"/>
      <c r="F66" s="364"/>
      <c r="G66" s="365"/>
      <c r="H66" s="366"/>
      <c r="I66" s="366"/>
      <c r="J66" s="363">
        <f>J65/R18</f>
        <v>0</v>
      </c>
      <c r="W66" s="61"/>
    </row>
    <row r="67" spans="2:23" hidden="1" x14ac:dyDescent="0.25"/>
    <row r="68" spans="2:23" x14ac:dyDescent="0.25">
      <c r="E68" s="480"/>
      <c r="H68" s="8"/>
    </row>
    <row r="73" spans="2:23" ht="15.75" x14ac:dyDescent="0.25">
      <c r="F73" s="527"/>
      <c r="G73" s="528"/>
      <c r="H73" s="8"/>
    </row>
    <row r="74" spans="2:23" ht="15.75" x14ac:dyDescent="0.25">
      <c r="F74" s="527"/>
      <c r="G74" s="528"/>
      <c r="H74" s="8"/>
    </row>
    <row r="75" spans="2:23" ht="15.75" x14ac:dyDescent="0.25">
      <c r="F75" s="527"/>
      <c r="G75" s="528"/>
    </row>
    <row r="76" spans="2:23" ht="15.75" x14ac:dyDescent="0.25">
      <c r="F76" s="527"/>
      <c r="G76" s="528"/>
    </row>
  </sheetData>
  <mergeCells count="21">
    <mergeCell ref="B18:C18"/>
    <mergeCell ref="M4:P4"/>
    <mergeCell ref="J5:K7"/>
    <mergeCell ref="O5:P5"/>
    <mergeCell ref="B6:B7"/>
    <mergeCell ref="C6:C7"/>
    <mergeCell ref="F6:F7"/>
    <mergeCell ref="G6:G7"/>
    <mergeCell ref="H6:H7"/>
    <mergeCell ref="I6:I7"/>
    <mergeCell ref="B4:C5"/>
    <mergeCell ref="D4:D5"/>
    <mergeCell ref="E4:E5"/>
    <mergeCell ref="F4:G4"/>
    <mergeCell ref="H4:I4"/>
    <mergeCell ref="J4:K4"/>
    <mergeCell ref="B8:C8"/>
    <mergeCell ref="B10:C10"/>
    <mergeCell ref="B11:C11"/>
    <mergeCell ref="B12:C13"/>
    <mergeCell ref="B15:C15"/>
  </mergeCells>
  <pageMargins left="0.7" right="0.7" top="0.78740157499999996" bottom="0.78740157499999996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2019</vt:lpstr>
      <vt:lpstr>srovnání s rokem 2014-hodnoty</vt:lpstr>
      <vt:lpstr>Rozpočet 2016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Frébort</dc:creator>
  <cp:lastModifiedBy>Doc. RNDr. Martin Kubala, Ph.D.</cp:lastModifiedBy>
  <cp:lastPrinted>2018-03-19T18:56:11Z</cp:lastPrinted>
  <dcterms:created xsi:type="dcterms:W3CDTF">2011-10-29T15:42:11Z</dcterms:created>
  <dcterms:modified xsi:type="dcterms:W3CDTF">2019-04-09T18:47:44Z</dcterms:modified>
</cp:coreProperties>
</file>