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18\PřF\Zprávy o hospodaření\Zpráva o hospodaření 2018\hospodareni_prilohy_2018\"/>
    </mc:Choice>
  </mc:AlternateContent>
  <bookViews>
    <workbookView xWindow="0" yWindow="0" windowWidth="28800" windowHeight="12000"/>
  </bookViews>
  <sheets>
    <sheet name="FRIM" sheetId="1" r:id="rId1"/>
    <sheet name="FPP" sheetId="2" r:id="rId2"/>
    <sheet name="FPP HV" sheetId="3" r:id="rId3"/>
  </sheets>
  <calcPr calcId="162913"/>
</workbook>
</file>

<file path=xl/calcChain.xml><?xml version="1.0" encoding="utf-8"?>
<calcChain xmlns="http://schemas.openxmlformats.org/spreadsheetml/2006/main">
  <c r="P50" i="1" l="1"/>
  <c r="I49" i="3" l="1"/>
  <c r="I49" i="2"/>
  <c r="G51" i="3" l="1"/>
  <c r="D48" i="2" l="1"/>
  <c r="D46" i="2"/>
  <c r="D45" i="2"/>
  <c r="D34" i="2"/>
  <c r="H7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6" i="2"/>
  <c r="D59" i="2"/>
  <c r="N14" i="1"/>
  <c r="N22" i="1"/>
  <c r="N41" i="1"/>
  <c r="N46" i="1"/>
  <c r="Q45" i="1" s="1"/>
  <c r="F24" i="1"/>
  <c r="G24" i="1" s="1"/>
  <c r="N24" i="1" s="1"/>
  <c r="Q24" i="1" s="1"/>
  <c r="G8" i="1"/>
  <c r="G9" i="1"/>
  <c r="N9" i="1" s="1"/>
  <c r="Q9" i="1" s="1"/>
  <c r="G10" i="1"/>
  <c r="N10" i="1" s="1"/>
  <c r="Q10" i="1" s="1"/>
  <c r="G11" i="1"/>
  <c r="N11" i="1" s="1"/>
  <c r="Q11" i="1" s="1"/>
  <c r="G12" i="1"/>
  <c r="N12" i="1" s="1"/>
  <c r="Q12" i="1" s="1"/>
  <c r="G14" i="1"/>
  <c r="G15" i="1"/>
  <c r="N15" i="1" s="1"/>
  <c r="Q15" i="1" s="1"/>
  <c r="G16" i="1"/>
  <c r="N16" i="1" s="1"/>
  <c r="Q16" i="1" s="1"/>
  <c r="G17" i="1"/>
  <c r="N17" i="1" s="1"/>
  <c r="Q17" i="1" s="1"/>
  <c r="G18" i="1"/>
  <c r="N18" i="1" s="1"/>
  <c r="Q18" i="1" s="1"/>
  <c r="G19" i="1"/>
  <c r="N19" i="1" s="1"/>
  <c r="Q19" i="1" s="1"/>
  <c r="G20" i="1"/>
  <c r="N20" i="1" s="1"/>
  <c r="Q20" i="1" s="1"/>
  <c r="G21" i="1"/>
  <c r="N21" i="1" s="1"/>
  <c r="Q21" i="1" s="1"/>
  <c r="G22" i="1"/>
  <c r="G23" i="1"/>
  <c r="N23" i="1" s="1"/>
  <c r="Q23" i="1" s="1"/>
  <c r="G25" i="1"/>
  <c r="N25" i="1" s="1"/>
  <c r="Q25" i="1" s="1"/>
  <c r="G26" i="1"/>
  <c r="N26" i="1" s="1"/>
  <c r="Q26" i="1" s="1"/>
  <c r="G28" i="1"/>
  <c r="N28" i="1" s="1"/>
  <c r="Q28" i="1" s="1"/>
  <c r="G29" i="1"/>
  <c r="N29" i="1" s="1"/>
  <c r="Q29" i="1" s="1"/>
  <c r="G30" i="1"/>
  <c r="N30" i="1" s="1"/>
  <c r="Q30" i="1" s="1"/>
  <c r="G31" i="1"/>
  <c r="N31" i="1" s="1"/>
  <c r="Q31" i="1" s="1"/>
  <c r="G32" i="1"/>
  <c r="N32" i="1" s="1"/>
  <c r="Q32" i="1" s="1"/>
  <c r="G33" i="1"/>
  <c r="N33" i="1" s="1"/>
  <c r="Q33" i="1" s="1"/>
  <c r="G34" i="1"/>
  <c r="N34" i="1" s="1"/>
  <c r="Q34" i="1" s="1"/>
  <c r="G36" i="1"/>
  <c r="N36" i="1" s="1"/>
  <c r="Q36" i="1" s="1"/>
  <c r="G37" i="1"/>
  <c r="N37" i="1" s="1"/>
  <c r="Q37" i="1" s="1"/>
  <c r="G38" i="1"/>
  <c r="N38" i="1" s="1"/>
  <c r="Q38" i="1" s="1"/>
  <c r="G39" i="1"/>
  <c r="N39" i="1" s="1"/>
  <c r="Q39" i="1" s="1"/>
  <c r="G40" i="1"/>
  <c r="N40" i="1" s="1"/>
  <c r="Q40" i="1" s="1"/>
  <c r="G41" i="1"/>
  <c r="G42" i="1"/>
  <c r="N42" i="1" s="1"/>
  <c r="Q41" i="1" s="1"/>
  <c r="G44" i="1"/>
  <c r="N44" i="1" s="1"/>
  <c r="Q43" i="1" s="1"/>
  <c r="G45" i="1"/>
  <c r="N45" i="1" s="1"/>
  <c r="Q44" i="1" s="1"/>
  <c r="G46" i="1"/>
  <c r="G47" i="1"/>
  <c r="N47" i="1" s="1"/>
  <c r="Q46" i="1" s="1"/>
  <c r="G48" i="1"/>
  <c r="N48" i="1" s="1"/>
  <c r="Q47" i="1" s="1"/>
  <c r="G50" i="1"/>
  <c r="N50" i="1" s="1"/>
  <c r="Q49" i="1" s="1"/>
  <c r="G51" i="1"/>
  <c r="N51" i="1" s="1"/>
  <c r="G52" i="1"/>
  <c r="N52" i="1" s="1"/>
  <c r="Q51" i="1" s="1"/>
  <c r="G53" i="1"/>
  <c r="N53" i="1" s="1"/>
  <c r="Q52" i="1" s="1"/>
  <c r="G54" i="1"/>
  <c r="N54" i="1" s="1"/>
  <c r="Q53" i="1" s="1"/>
  <c r="G55" i="1"/>
  <c r="N55" i="1" s="1"/>
  <c r="Q54" i="1" s="1"/>
  <c r="G56" i="1"/>
  <c r="N56" i="1" s="1"/>
  <c r="Q55" i="1" s="1"/>
  <c r="G57" i="1"/>
  <c r="N57" i="1" s="1"/>
  <c r="Q56" i="1" s="1"/>
  <c r="G7" i="1"/>
  <c r="N7" i="1" s="1"/>
  <c r="D58" i="1"/>
  <c r="F13" i="1"/>
  <c r="G13" i="1" s="1"/>
  <c r="N13" i="1" s="1"/>
  <c r="Q13" i="1" s="1"/>
  <c r="F49" i="1"/>
  <c r="G49" i="1" s="1"/>
  <c r="N49" i="1" s="1"/>
  <c r="Q48" i="1" s="1"/>
  <c r="F43" i="1"/>
  <c r="G43" i="1" s="1"/>
  <c r="N43" i="1" s="1"/>
  <c r="Q42" i="1" s="1"/>
  <c r="F35" i="1"/>
  <c r="G35" i="1" s="1"/>
  <c r="N35" i="1" s="1"/>
  <c r="Q35" i="1" s="1"/>
  <c r="F27" i="1"/>
  <c r="G27" i="1" s="1"/>
  <c r="N27" i="1" s="1"/>
  <c r="Q27" i="1" s="1"/>
  <c r="C58" i="1"/>
  <c r="G28" i="3"/>
  <c r="G52" i="3" s="1"/>
  <c r="L76" i="1"/>
  <c r="L78" i="1"/>
  <c r="L89" i="1"/>
  <c r="L74" i="1"/>
  <c r="L66" i="1"/>
  <c r="O8" i="1"/>
  <c r="O58" i="1" s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7" i="1"/>
  <c r="J58" i="1"/>
  <c r="D52" i="3"/>
  <c r="C52" i="3"/>
  <c r="E51" i="3"/>
  <c r="F51" i="3"/>
  <c r="H51" i="3" s="1"/>
  <c r="F50" i="3"/>
  <c r="F49" i="3"/>
  <c r="H49" i="3" s="1"/>
  <c r="F48" i="3"/>
  <c r="H48" i="3" s="1"/>
  <c r="F47" i="3"/>
  <c r="H47" i="3" s="1"/>
  <c r="E46" i="3"/>
  <c r="F46" i="3" s="1"/>
  <c r="H46" i="3" s="1"/>
  <c r="F45" i="3"/>
  <c r="H45" i="3" s="1"/>
  <c r="F44" i="3"/>
  <c r="H44" i="3" s="1"/>
  <c r="F43" i="3"/>
  <c r="H43" i="3" s="1"/>
  <c r="E42" i="3"/>
  <c r="F42" i="3"/>
  <c r="H42" i="3" s="1"/>
  <c r="E41" i="3"/>
  <c r="F41" i="3"/>
  <c r="H41" i="3"/>
  <c r="F40" i="3"/>
  <c r="H40" i="3" s="1"/>
  <c r="F39" i="3"/>
  <c r="H39" i="3"/>
  <c r="F38" i="3"/>
  <c r="H38" i="3" s="1"/>
  <c r="F37" i="3"/>
  <c r="H37" i="3"/>
  <c r="F36" i="3"/>
  <c r="H36" i="3" s="1"/>
  <c r="F35" i="3"/>
  <c r="H35" i="3" s="1"/>
  <c r="F34" i="3"/>
  <c r="H34" i="3" s="1"/>
  <c r="F33" i="3"/>
  <c r="H33" i="3"/>
  <c r="E32" i="3"/>
  <c r="F32" i="3" s="1"/>
  <c r="H32" i="3" s="1"/>
  <c r="F31" i="3"/>
  <c r="H31" i="3"/>
  <c r="F30" i="3"/>
  <c r="H30" i="3" s="1"/>
  <c r="F29" i="3"/>
  <c r="H29" i="3"/>
  <c r="F28" i="3"/>
  <c r="H28" i="3" s="1"/>
  <c r="F27" i="3"/>
  <c r="H27" i="3"/>
  <c r="F26" i="3"/>
  <c r="H26" i="3" s="1"/>
  <c r="F25" i="3"/>
  <c r="H25" i="3"/>
  <c r="F24" i="3"/>
  <c r="H24" i="3" s="1"/>
  <c r="F23" i="3"/>
  <c r="H23" i="3"/>
  <c r="F22" i="3"/>
  <c r="H22" i="3" s="1"/>
  <c r="F21" i="3"/>
  <c r="H21" i="3"/>
  <c r="F20" i="3"/>
  <c r="H20" i="3" s="1"/>
  <c r="F19" i="3"/>
  <c r="H19" i="3" s="1"/>
  <c r="F18" i="3"/>
  <c r="H18" i="3" s="1"/>
  <c r="F17" i="3"/>
  <c r="H17" i="3"/>
  <c r="F16" i="3"/>
  <c r="H16" i="3" s="1"/>
  <c r="F15" i="3"/>
  <c r="H15" i="3"/>
  <c r="F14" i="3"/>
  <c r="H14" i="3" s="1"/>
  <c r="F13" i="3"/>
  <c r="H13" i="3"/>
  <c r="F12" i="3"/>
  <c r="H12" i="3" s="1"/>
  <c r="E11" i="3"/>
  <c r="F11" i="3" s="1"/>
  <c r="H11" i="3" s="1"/>
  <c r="F10" i="3"/>
  <c r="H10" i="3"/>
  <c r="F9" i="3"/>
  <c r="H9" i="3"/>
  <c r="F8" i="3"/>
  <c r="H8" i="3"/>
  <c r="F7" i="3"/>
  <c r="H7" i="3"/>
  <c r="F6" i="3"/>
  <c r="H6" i="3"/>
  <c r="H50" i="3"/>
  <c r="M58" i="1"/>
  <c r="C63" i="1" s="1"/>
  <c r="C65" i="1"/>
  <c r="E59" i="2"/>
  <c r="F59" i="2"/>
  <c r="C59" i="2"/>
  <c r="E58" i="1"/>
  <c r="C62" i="1" s="1"/>
  <c r="Q22" i="1"/>
  <c r="Q14" i="1"/>
  <c r="L58" i="1"/>
  <c r="C69" i="1"/>
  <c r="H58" i="1"/>
  <c r="C68" i="1" s="1"/>
  <c r="I58" i="1"/>
  <c r="K58" i="1"/>
  <c r="C64" i="1"/>
  <c r="C70" i="1" l="1"/>
  <c r="E52" i="3"/>
  <c r="F52" i="3"/>
  <c r="H53" i="3" s="1"/>
  <c r="G58" i="1"/>
  <c r="C66" i="1"/>
  <c r="Q7" i="1"/>
  <c r="Q57" i="1" s="1"/>
  <c r="F58" i="1"/>
  <c r="N8" i="1"/>
  <c r="Q8" i="1" s="1"/>
  <c r="F55" i="3"/>
  <c r="H52" i="3"/>
  <c r="I51" i="3"/>
  <c r="H59" i="2"/>
  <c r="N58" i="1" l="1"/>
</calcChain>
</file>

<file path=xl/comments1.xml><?xml version="1.0" encoding="utf-8"?>
<comments xmlns="http://schemas.openxmlformats.org/spreadsheetml/2006/main">
  <authors>
    <author>Ing. Dagmar Kopecká</author>
  </authors>
  <commentList>
    <comment ref="G52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podle mne 3740 patří pod děkanát, takže jsem nic nedoplňovala</t>
        </r>
      </text>
    </comment>
    <comment ref="G54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nevím, ke kterému řádku připsat FPP, tak jsem použila tento</t>
        </r>
      </text>
    </comment>
  </commentList>
</comments>
</file>

<file path=xl/comments2.xml><?xml version="1.0" encoding="utf-8"?>
<comments xmlns="http://schemas.openxmlformats.org/spreadsheetml/2006/main">
  <authors>
    <author>Ing. Lenka Káňová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záporný HV ze zdroje 11 /převod na 3900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31591,26 z 3151 (dluh Didaktika 2017)
13478,76 z 3141 (dluh Didaktika 2017)
</t>
        </r>
      </text>
    </comment>
    <comment ref="E22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převod na 3122 /dluh Didaktika 2017
</t>
        </r>
      </text>
    </comment>
    <comment ref="E28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převod na 3122 /dluh Didaktika 2017</t>
        </r>
      </text>
    </comment>
    <comment ref="E31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dluh uhrazen ve FPP
</t>
        </r>
      </text>
    </comment>
    <comment ref="E32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273827,83 záporný HV ze zdroje 11 /převod na 3900
281616,50 dluh za 3703
</t>
        </r>
      </text>
    </comment>
    <comment ref="E34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dluh uhrazen ve FRIM
</t>
        </r>
      </text>
    </comment>
    <comment ref="E35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dluh převeden na 3137
</t>
        </r>
      </text>
    </comment>
    <comment ref="E41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dluh 875884,50 převeden na 3721
142411 převod na 3726  /aktivace nehm. maj.
447672 převod na 3725 /aktivace nehm. maj.
130002 převod na 3723 /aktivace nehm. maj.
</t>
        </r>
      </text>
    </comment>
    <comment ref="G41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Převod do FRIM
</t>
        </r>
      </text>
    </comment>
    <comment ref="E42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875884,50 převzetí dluhu 3720
1061964,23 převzetí dluhu 3702 /vyrovnání ve FRIM</t>
        </r>
      </text>
    </comment>
    <comment ref="E44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od 3702 /aktivace nehm. maj.</t>
        </r>
      </text>
    </comment>
    <comment ref="E45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záporný HV 3154 /kompenzace FPP
</t>
        </r>
      </text>
    </comment>
    <comment ref="E46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223381,53 převzal 3727 /kompenzace FPP
447672 z 3720 /aktivace nehm. maj.</t>
        </r>
      </text>
    </comment>
    <comment ref="E47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od 3720 /aktivace nehm. maj.</t>
        </r>
      </text>
    </comment>
    <comment ref="E48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záporný výsledek 3725 /
kompenzace ve FPP</t>
        </r>
      </text>
    </comment>
    <comment ref="G51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50000 - AFO</t>
        </r>
      </text>
    </comment>
  </commentList>
</comments>
</file>

<file path=xl/sharedStrings.xml><?xml version="1.0" encoding="utf-8"?>
<sst xmlns="http://schemas.openxmlformats.org/spreadsheetml/2006/main" count="246" uniqueCount="127">
  <si>
    <t xml:space="preserve"> </t>
  </si>
  <si>
    <t>kód</t>
  </si>
  <si>
    <t>katedra</t>
  </si>
  <si>
    <t>Kapitalizovaný zdroj 30</t>
  </si>
  <si>
    <t>ČERPÁNÍ INVESTIC</t>
  </si>
  <si>
    <t>Zůstatek ve FRIM pro příští rok (v případě půjček)</t>
  </si>
  <si>
    <t>Schválený plán</t>
  </si>
  <si>
    <t>Zůstatek kapitalizovaného zdroje 30</t>
  </si>
  <si>
    <t>zůstatek ve FRIM pro příští rok</t>
  </si>
  <si>
    <t>VPRO matematika a informatika</t>
  </si>
  <si>
    <t>Mat. analýza a apl. mat.</t>
  </si>
  <si>
    <t>Algebra a geometrie</t>
  </si>
  <si>
    <t>Informatika</t>
  </si>
  <si>
    <t>VPRO fyzika</t>
  </si>
  <si>
    <t>Experimentální fyzika</t>
  </si>
  <si>
    <t>Optika</t>
  </si>
  <si>
    <t>Společná laboratoř</t>
  </si>
  <si>
    <t>Biofyzika</t>
  </si>
  <si>
    <t>VPRO chemie</t>
  </si>
  <si>
    <t>Anorganická chemie</t>
  </si>
  <si>
    <t>Fyzikální chemie</t>
  </si>
  <si>
    <t>Analytické chemie</t>
  </si>
  <si>
    <t>Organická chemie</t>
  </si>
  <si>
    <t>Biochemie</t>
  </si>
  <si>
    <t>VPRO biologie a ekologie</t>
  </si>
  <si>
    <t>Botanika</t>
  </si>
  <si>
    <t>Laboratoř růstových regulátorů</t>
  </si>
  <si>
    <t>Zoologie a antropologie</t>
  </si>
  <si>
    <t>Ekologie a životní prostředí</t>
  </si>
  <si>
    <t>Buněčná biologie a genetika</t>
  </si>
  <si>
    <t>VPRO vědy o Zemi</t>
  </si>
  <si>
    <t>Geografie</t>
  </si>
  <si>
    <t>Geologie</t>
  </si>
  <si>
    <t>Geoinformatika</t>
  </si>
  <si>
    <t>Rozvojová a environmentální studia</t>
  </si>
  <si>
    <t>CRH - Řídící úsek</t>
  </si>
  <si>
    <t>Proteinová biochemie a proteomika</t>
  </si>
  <si>
    <t>Bioenergetika rostlin</t>
  </si>
  <si>
    <t>Chemická biologie</t>
  </si>
  <si>
    <t>Rostlinné biotechnologie</t>
  </si>
  <si>
    <t>Buněčná a vývojová biologie rostlin</t>
  </si>
  <si>
    <t>Centrální laboratoře a podpora výzkumu</t>
  </si>
  <si>
    <t>rezerva</t>
  </si>
  <si>
    <t>RCPTM - Vedení</t>
  </si>
  <si>
    <t>RCPTM - Magnetic</t>
  </si>
  <si>
    <t>RCPTM - Uhlík</t>
  </si>
  <si>
    <t>RCPTM - Komplexy</t>
  </si>
  <si>
    <t>RCPTM - Optika</t>
  </si>
  <si>
    <t>RCPTM - Bio-Med</t>
  </si>
  <si>
    <t>RCPTM - Analýza</t>
  </si>
  <si>
    <t>RCPTM - Environmental</t>
  </si>
  <si>
    <t>RCPTM - Elektrochemie</t>
  </si>
  <si>
    <t>RCPTM - rezerva</t>
  </si>
  <si>
    <t>Centrum popularizace (dokončení projektu a první rok provozu)</t>
  </si>
  <si>
    <t>Centrum popularizace - Provoz expozic (dokončení projektu a první rok provozu)</t>
  </si>
  <si>
    <t>3900_1</t>
  </si>
  <si>
    <t>Děkanát - vybavení</t>
  </si>
  <si>
    <t>3900_2</t>
  </si>
  <si>
    <t>Rozvoj - stavby</t>
  </si>
  <si>
    <t>3900_3</t>
  </si>
  <si>
    <t>Internacionalizace</t>
  </si>
  <si>
    <t>3900_4</t>
  </si>
  <si>
    <t>Solidární fond fa</t>
  </si>
  <si>
    <t>3900_5</t>
  </si>
  <si>
    <t>Pokuty a penále</t>
  </si>
  <si>
    <t>CELKEM</t>
  </si>
  <si>
    <r>
      <t>Objednáno</t>
    </r>
    <r>
      <rPr>
        <b/>
        <sz val="13"/>
        <rFont val="Calibri"/>
        <family val="2"/>
        <charset val="238"/>
        <scheme val="minor"/>
      </rPr>
      <t xml:space="preserve"> zatím nefakturováno včetně DPH</t>
    </r>
    <r>
      <rPr>
        <b/>
        <sz val="13"/>
        <color rgb="FFFF0000"/>
        <rFont val="Calibri"/>
        <family val="2"/>
        <charset val="238"/>
        <scheme val="minor"/>
      </rPr>
      <t xml:space="preserve"> </t>
    </r>
  </si>
  <si>
    <r>
      <rPr>
        <b/>
        <sz val="13"/>
        <rFont val="Calibri"/>
        <family val="2"/>
        <charset val="238"/>
        <scheme val="minor"/>
      </rPr>
      <t xml:space="preserve">Čerpání investice - FRIM zdroj 80/ Fakturovaná cena </t>
    </r>
    <r>
      <rPr>
        <b/>
        <sz val="13"/>
        <color rgb="FFFF0000"/>
        <rFont val="Calibri"/>
        <family val="2"/>
        <charset val="238"/>
        <scheme val="minor"/>
      </rPr>
      <t xml:space="preserve">včetně DPH </t>
    </r>
  </si>
  <si>
    <r>
      <rPr>
        <b/>
        <sz val="13"/>
        <rFont val="Calibri"/>
        <family val="2"/>
        <charset val="238"/>
        <scheme val="minor"/>
      </rPr>
      <t xml:space="preserve">Čerpání investice - kapitalizovaný zdroj 30 / Fakturovaná cena </t>
    </r>
    <r>
      <rPr>
        <b/>
        <sz val="13"/>
        <color rgb="FFFF0000"/>
        <rFont val="Calibri"/>
        <family val="2"/>
        <charset val="238"/>
        <scheme val="minor"/>
      </rPr>
      <t xml:space="preserve">včetně DPH </t>
    </r>
  </si>
  <si>
    <r>
      <rPr>
        <b/>
        <sz val="13"/>
        <rFont val="Calibri"/>
        <family val="2"/>
        <charset val="238"/>
        <scheme val="minor"/>
      </rPr>
      <t xml:space="preserve">Čerpání investice - FRIM z FPP zdroj 81/ Fakturovaná cena </t>
    </r>
    <r>
      <rPr>
        <b/>
        <sz val="13"/>
        <color rgb="FFFF0000"/>
        <rFont val="Calibri"/>
        <family val="2"/>
        <charset val="238"/>
        <scheme val="minor"/>
      </rPr>
      <t xml:space="preserve">včetně DPH </t>
    </r>
  </si>
  <si>
    <t>Úpravy</t>
  </si>
  <si>
    <t>Oprava spočívá v navýšení čerpání FPP střediska 3111 v provozu o částku 10 195,73 Kč (FPP uk. F). Nová hodnota celkové částky čerpání FPP v provozu 13 052 642,28 Kč (změna z původní částky 13 042 446,55 Kč) a nová celková hodnota zůstatku FPP je 86 307 834,88 Kč (změna z původní částky 86 318 030,61 Kč)</t>
  </si>
  <si>
    <t xml:space="preserve">Skutečné čerpání 2018 FPP NIV  </t>
  </si>
  <si>
    <t>Skutečné čerpání 2018 FPP INV</t>
  </si>
  <si>
    <t>Kumulovaný výsledek                  (2013-2017)</t>
  </si>
  <si>
    <t>HV 2017</t>
  </si>
  <si>
    <t>Zdanění?</t>
  </si>
  <si>
    <t xml:space="preserve">PS 2018 </t>
  </si>
  <si>
    <t>Čerpání 2018</t>
  </si>
  <si>
    <t>Průběžný disponibilní zůstatek 2018</t>
  </si>
  <si>
    <t>3740+3741</t>
  </si>
  <si>
    <t>Centrum popularizace + provoz expozic</t>
  </si>
  <si>
    <t xml:space="preserve">Děkanát </t>
  </si>
  <si>
    <t>FPP</t>
  </si>
  <si>
    <t>FRIM</t>
  </si>
  <si>
    <t>PS - 2018 (včetně tvorby z odpisů)</t>
  </si>
  <si>
    <t>KS - 2018</t>
  </si>
  <si>
    <t>Čerpání  FRIM</t>
  </si>
  <si>
    <t>Převod do FRIM z FPP</t>
  </si>
  <si>
    <t>Čerpání  FRIM z FPP</t>
  </si>
  <si>
    <t>zdroj: tabulka Lucka Zdařilová</t>
  </si>
  <si>
    <t>Čerpání INV - zdroj 30</t>
  </si>
  <si>
    <t>Zůstatek - kapitalizovaný zdroj 30</t>
  </si>
  <si>
    <t>FPP - PS 2018</t>
  </si>
  <si>
    <t>FPP - KS 2018</t>
  </si>
  <si>
    <t>FRIM - KS 2018</t>
  </si>
  <si>
    <t>osobní auto</t>
  </si>
  <si>
    <t>schodolez</t>
  </si>
  <si>
    <t>exponáty PP</t>
  </si>
  <si>
    <t>911 688 / 81</t>
  </si>
  <si>
    <t>911 698 / 80</t>
  </si>
  <si>
    <t>911 697 / 80</t>
  </si>
  <si>
    <t>naíbjecí kiosky</t>
  </si>
  <si>
    <t>modernizace studovny</t>
  </si>
  <si>
    <t>plátno aula</t>
  </si>
  <si>
    <t>stavba 2 - Dobudování a modernizace objektu 47</t>
  </si>
  <si>
    <t>stavba 1 - Rekonstrukce areálových komunikací I.</t>
  </si>
  <si>
    <t>stavba 3 - Dobudování infrastruktury - objekt 53</t>
  </si>
  <si>
    <t>stavba 4 - Dostavba energocentra a Datového centra</t>
  </si>
  <si>
    <t>stavba 5 - Dostavba a rekonstrukce objektu 52</t>
  </si>
  <si>
    <t>stavba 6 - Rekonstrukce areálových komunikací II.</t>
  </si>
  <si>
    <t>stavba 2, 7 - Dobudování a modernizace objektu 47</t>
  </si>
  <si>
    <t>Doplnění chlazení Envelopa</t>
  </si>
  <si>
    <t>poplatky zveřejnění</t>
  </si>
  <si>
    <t>Obnova technických a technologických systémů</t>
  </si>
  <si>
    <t>Obnova systému nouzového osvětlení</t>
  </si>
  <si>
    <t>Stavební úpravy SLO a VLD</t>
  </si>
  <si>
    <t>F2 - stavební úpravy po požáru</t>
  </si>
  <si>
    <t>Čerpání/tvorba FPP 2018 (výsledky hospodaření - zdroj 11/2018)           mínus =ZTRÁTA</t>
  </si>
  <si>
    <t>PS 2018 - SAP</t>
  </si>
  <si>
    <t>Odpisy 2018 - SAP</t>
  </si>
  <si>
    <t>Převody</t>
  </si>
  <si>
    <t>PS 2018</t>
  </si>
  <si>
    <t>Převod z FPP HV do FRIM</t>
  </si>
  <si>
    <t>FPP HV</t>
  </si>
  <si>
    <t>Přehled čerpání fondů - FRIM, FPP, FPP HV za r. 2018</t>
  </si>
  <si>
    <t>Příloha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</si>
</sst>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24"/>
      <color rgb="FF0070C0"/>
      <name val="Calibri"/>
      <family val="2"/>
      <charset val="238"/>
      <scheme val="minor"/>
    </font>
    <font>
      <sz val="24"/>
      <color rgb="FF00B05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4" fillId="0" borderId="0" xfId="0" applyFont="1"/>
    <xf numFmtId="0" fontId="0" fillId="0" borderId="0" xfId="0" applyFill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8" fillId="0" borderId="0" xfId="0" applyFont="1"/>
    <xf numFmtId="0" fontId="2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2" fillId="4" borderId="10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/>
    </xf>
    <xf numFmtId="0" fontId="15" fillId="5" borderId="14" xfId="0" applyFont="1" applyFill="1" applyBorder="1"/>
    <xf numFmtId="164" fontId="0" fillId="0" borderId="0" xfId="0" applyNumberFormat="1" applyFont="1"/>
    <xf numFmtId="164" fontId="4" fillId="5" borderId="0" xfId="0" applyNumberFormat="1" applyFont="1" applyFill="1"/>
    <xf numFmtId="0" fontId="15" fillId="3" borderId="15" xfId="0" applyFont="1" applyFill="1" applyBorder="1" applyAlignment="1">
      <alignment horizontal="center"/>
    </xf>
    <xf numFmtId="0" fontId="0" fillId="0" borderId="16" xfId="0" applyFont="1" applyFill="1" applyBorder="1"/>
    <xf numFmtId="164" fontId="4" fillId="0" borderId="0" xfId="0" applyNumberFormat="1" applyFont="1"/>
    <xf numFmtId="0" fontId="15" fillId="5" borderId="16" xfId="0" applyFont="1" applyFill="1" applyBorder="1"/>
    <xf numFmtId="0" fontId="0" fillId="0" borderId="0" xfId="0" applyFont="1"/>
    <xf numFmtId="0" fontId="0" fillId="5" borderId="16" xfId="0" applyFont="1" applyFill="1" applyBorder="1"/>
    <xf numFmtId="164" fontId="16" fillId="0" borderId="0" xfId="0" applyNumberFormat="1" applyFont="1" applyFill="1"/>
    <xf numFmtId="0" fontId="3" fillId="6" borderId="16" xfId="0" applyFont="1" applyFill="1" applyBorder="1"/>
    <xf numFmtId="0" fontId="15" fillId="3" borderId="15" xfId="0" applyFont="1" applyFill="1" applyBorder="1" applyAlignment="1">
      <alignment horizontal="center" vertical="center"/>
    </xf>
    <xf numFmtId="0" fontId="0" fillId="5" borderId="16" xfId="0" applyFont="1" applyFill="1" applyBorder="1" applyAlignment="1">
      <alignment vertical="center" wrapText="1"/>
    </xf>
    <xf numFmtId="0" fontId="0" fillId="3" borderId="15" xfId="0" applyFont="1" applyFill="1" applyBorder="1" applyAlignment="1">
      <alignment horizontal="center" vertical="center"/>
    </xf>
    <xf numFmtId="0" fontId="0" fillId="3" borderId="15" xfId="0" applyFont="1" applyFill="1" applyBorder="1" applyAlignment="1">
      <alignment horizontal="center"/>
    </xf>
    <xf numFmtId="0" fontId="0" fillId="3" borderId="18" xfId="0" applyFont="1" applyFill="1" applyBorder="1" applyAlignment="1">
      <alignment horizontal="center"/>
    </xf>
    <xf numFmtId="0" fontId="0" fillId="0" borderId="19" xfId="0" applyFont="1" applyFill="1" applyBorder="1"/>
    <xf numFmtId="0" fontId="2" fillId="5" borderId="20" xfId="0" applyFont="1" applyFill="1" applyBorder="1" applyAlignment="1"/>
    <xf numFmtId="0" fontId="2" fillId="5" borderId="21" xfId="0" applyFont="1" applyFill="1" applyBorder="1" applyAlignment="1"/>
    <xf numFmtId="0" fontId="11" fillId="0" borderId="0" xfId="0" applyFont="1" applyFill="1" applyBorder="1" applyAlignment="1"/>
    <xf numFmtId="164" fontId="17" fillId="0" borderId="0" xfId="0" applyNumberFormat="1" applyFont="1" applyFill="1"/>
    <xf numFmtId="0" fontId="17" fillId="0" borderId="0" xfId="0" applyFont="1"/>
    <xf numFmtId="164" fontId="17" fillId="0" borderId="0" xfId="0" applyNumberFormat="1" applyFont="1"/>
    <xf numFmtId="4" fontId="17" fillId="0" borderId="0" xfId="0" applyNumberFormat="1" applyFont="1"/>
    <xf numFmtId="164" fontId="0" fillId="0" borderId="0" xfId="0" applyNumberFormat="1"/>
    <xf numFmtId="0" fontId="18" fillId="0" borderId="0" xfId="0" applyFont="1"/>
    <xf numFmtId="4" fontId="0" fillId="0" borderId="17" xfId="0" applyNumberFormat="1" applyFont="1" applyFill="1" applyBorder="1" applyAlignment="1">
      <alignment vertical="center"/>
    </xf>
    <xf numFmtId="4" fontId="0" fillId="5" borderId="17" xfId="0" applyNumberFormat="1" applyFont="1" applyFill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0" fillId="0" borderId="7" xfId="0" applyNumberFormat="1" applyFont="1" applyFill="1" applyBorder="1" applyAlignment="1">
      <alignment vertical="center"/>
    </xf>
    <xf numFmtId="0" fontId="2" fillId="5" borderId="26" xfId="0" applyFont="1" applyFill="1" applyBorder="1" applyAlignment="1">
      <alignment vertical="center"/>
    </xf>
    <xf numFmtId="4" fontId="2" fillId="5" borderId="22" xfId="0" applyNumberFormat="1" applyFont="1" applyFill="1" applyBorder="1" applyAlignment="1">
      <alignment vertical="center"/>
    </xf>
    <xf numFmtId="0" fontId="2" fillId="0" borderId="0" xfId="0" applyFont="1" applyFill="1" applyBorder="1" applyAlignment="1"/>
    <xf numFmtId="164" fontId="2" fillId="0" borderId="0" xfId="0" applyNumberFormat="1" applyFont="1" applyFill="1" applyBorder="1"/>
    <xf numFmtId="0" fontId="17" fillId="0" borderId="0" xfId="0" applyFont="1" applyFill="1" applyBorder="1"/>
    <xf numFmtId="4" fontId="0" fillId="0" borderId="0" xfId="0" applyNumberFormat="1"/>
    <xf numFmtId="4" fontId="15" fillId="5" borderId="12" xfId="0" applyNumberFormat="1" applyFont="1" applyFill="1" applyBorder="1" applyAlignment="1">
      <alignment vertical="center"/>
    </xf>
    <xf numFmtId="4" fontId="15" fillId="5" borderId="17" xfId="0" applyNumberFormat="1" applyFont="1" applyFill="1" applyBorder="1" applyAlignment="1">
      <alignment vertical="center"/>
    </xf>
    <xf numFmtId="0" fontId="18" fillId="0" borderId="0" xfId="0" applyFont="1" applyFill="1"/>
    <xf numFmtId="164" fontId="0" fillId="0" borderId="0" xfId="0" applyNumberFormat="1" applyFill="1"/>
    <xf numFmtId="0" fontId="15" fillId="5" borderId="17" xfId="0" applyFont="1" applyFill="1" applyBorder="1"/>
    <xf numFmtId="0" fontId="0" fillId="0" borderId="17" xfId="0" applyFont="1" applyFill="1" applyBorder="1"/>
    <xf numFmtId="0" fontId="0" fillId="5" borderId="17" xfId="0" applyFont="1" applyFill="1" applyBorder="1"/>
    <xf numFmtId="0" fontId="3" fillId="6" borderId="17" xfId="0" applyFont="1" applyFill="1" applyBorder="1"/>
    <xf numFmtId="4" fontId="0" fillId="0" borderId="0" xfId="0" applyNumberFormat="1" applyFont="1"/>
    <xf numFmtId="0" fontId="2" fillId="0" borderId="0" xfId="0" applyNumberFormat="1" applyFont="1" applyFill="1" applyBorder="1"/>
    <xf numFmtId="4" fontId="0" fillId="0" borderId="0" xfId="0" applyNumberFormat="1" applyFill="1"/>
    <xf numFmtId="0" fontId="0" fillId="8" borderId="0" xfId="0" applyFill="1"/>
    <xf numFmtId="0" fontId="2" fillId="8" borderId="0" xfId="0" applyFont="1" applyFill="1"/>
    <xf numFmtId="164" fontId="2" fillId="8" borderId="0" xfId="0" applyNumberFormat="1" applyFont="1" applyFill="1"/>
    <xf numFmtId="164" fontId="0" fillId="9" borderId="0" xfId="0" applyNumberFormat="1" applyFill="1"/>
    <xf numFmtId="4" fontId="0" fillId="9" borderId="0" xfId="0" applyNumberFormat="1" applyFill="1" applyAlignment="1">
      <alignment horizontal="right" vertical="top"/>
    </xf>
    <xf numFmtId="0" fontId="21" fillId="9" borderId="0" xfId="0" applyFont="1" applyFill="1" applyAlignment="1">
      <alignment vertical="top"/>
    </xf>
    <xf numFmtId="4" fontId="0" fillId="9" borderId="0" xfId="0" applyNumberFormat="1" applyFill="1"/>
    <xf numFmtId="0" fontId="0" fillId="9" borderId="0" xfId="0" applyFill="1"/>
    <xf numFmtId="0" fontId="0" fillId="10" borderId="0" xfId="0" applyFill="1"/>
    <xf numFmtId="4" fontId="0" fillId="10" borderId="0" xfId="0" applyNumberFormat="1" applyFill="1" applyAlignment="1">
      <alignment horizontal="right" vertical="top"/>
    </xf>
    <xf numFmtId="0" fontId="21" fillId="10" borderId="0" xfId="0" applyFont="1" applyFill="1" applyAlignment="1">
      <alignment vertical="top"/>
    </xf>
    <xf numFmtId="0" fontId="0" fillId="11" borderId="0" xfId="0" applyFill="1"/>
    <xf numFmtId="4" fontId="0" fillId="11" borderId="0" xfId="0" applyNumberFormat="1" applyFill="1"/>
    <xf numFmtId="0" fontId="0" fillId="12" borderId="0" xfId="0" applyFill="1"/>
    <xf numFmtId="4" fontId="0" fillId="12" borderId="0" xfId="0" applyNumberFormat="1" applyFill="1"/>
    <xf numFmtId="4" fontId="2" fillId="9" borderId="0" xfId="0" applyNumberFormat="1" applyFont="1" applyFill="1"/>
    <xf numFmtId="4" fontId="2" fillId="10" borderId="0" xfId="0" applyNumberFormat="1" applyFont="1" applyFill="1"/>
    <xf numFmtId="4" fontId="2" fillId="11" borderId="0" xfId="0" applyNumberFormat="1" applyFont="1" applyFill="1"/>
    <xf numFmtId="4" fontId="2" fillId="12" borderId="0" xfId="0" applyNumberFormat="1" applyFont="1" applyFill="1"/>
    <xf numFmtId="4" fontId="15" fillId="0" borderId="17" xfId="0" applyNumberFormat="1" applyFont="1" applyFill="1" applyBorder="1" applyAlignment="1">
      <alignment vertical="center"/>
    </xf>
    <xf numFmtId="4" fontId="1" fillId="0" borderId="17" xfId="0" applyNumberFormat="1" applyFont="1" applyFill="1" applyBorder="1" applyAlignment="1">
      <alignment vertical="center"/>
    </xf>
    <xf numFmtId="4" fontId="4" fillId="0" borderId="17" xfId="0" applyNumberFormat="1" applyFont="1" applyFill="1" applyBorder="1" applyAlignment="1">
      <alignment vertical="center"/>
    </xf>
    <xf numFmtId="4" fontId="22" fillId="0" borderId="17" xfId="0" applyNumberFormat="1" applyFont="1" applyFill="1" applyBorder="1" applyAlignment="1">
      <alignment vertical="center"/>
    </xf>
    <xf numFmtId="4" fontId="0" fillId="0" borderId="17" xfId="0" applyNumberFormat="1" applyFont="1" applyFill="1" applyBorder="1"/>
    <xf numFmtId="4" fontId="15" fillId="0" borderId="17" xfId="0" applyNumberFormat="1" applyFont="1" applyFill="1" applyBorder="1"/>
    <xf numFmtId="4" fontId="1" fillId="0" borderId="17" xfId="0" applyNumberFormat="1" applyFont="1" applyFill="1" applyBorder="1"/>
    <xf numFmtId="4" fontId="16" fillId="0" borderId="17" xfId="0" applyNumberFormat="1" applyFont="1" applyFill="1" applyBorder="1"/>
    <xf numFmtId="4" fontId="4" fillId="0" borderId="17" xfId="0" applyNumberFormat="1" applyFont="1" applyFill="1" applyBorder="1"/>
    <xf numFmtId="4" fontId="0" fillId="5" borderId="17" xfId="0" applyNumberFormat="1" applyFont="1" applyFill="1" applyBorder="1"/>
    <xf numFmtId="4" fontId="0" fillId="5" borderId="12" xfId="0" applyNumberFormat="1" applyFont="1" applyFill="1" applyBorder="1"/>
    <xf numFmtId="4" fontId="15" fillId="5" borderId="14" xfId="0" applyNumberFormat="1" applyFont="1" applyFill="1" applyBorder="1"/>
    <xf numFmtId="4" fontId="0" fillId="0" borderId="16" xfId="0" applyNumberFormat="1" applyFont="1" applyFill="1" applyBorder="1"/>
    <xf numFmtId="4" fontId="15" fillId="5" borderId="16" xfId="0" applyNumberFormat="1" applyFont="1" applyFill="1" applyBorder="1"/>
    <xf numFmtId="4" fontId="0" fillId="5" borderId="16" xfId="0" applyNumberFormat="1" applyFont="1" applyFill="1" applyBorder="1"/>
    <xf numFmtId="4" fontId="3" fillId="6" borderId="16" xfId="0" applyNumberFormat="1" applyFont="1" applyFill="1" applyBorder="1"/>
    <xf numFmtId="4" fontId="0" fillId="5" borderId="16" xfId="0" applyNumberFormat="1" applyFont="1" applyFill="1" applyBorder="1" applyAlignment="1">
      <alignment vertical="center" wrapText="1"/>
    </xf>
    <xf numFmtId="4" fontId="0" fillId="0" borderId="19" xfId="0" applyNumberFormat="1" applyFont="1" applyFill="1" applyBorder="1"/>
    <xf numFmtId="4" fontId="2" fillId="5" borderId="21" xfId="0" applyNumberFormat="1" applyFont="1" applyFill="1" applyBorder="1" applyAlignment="1"/>
    <xf numFmtId="4" fontId="0" fillId="0" borderId="17" xfId="0" applyNumberFormat="1" applyFont="1" applyBorder="1"/>
    <xf numFmtId="4" fontId="0" fillId="9" borderId="17" xfId="0" applyNumberFormat="1" applyFont="1" applyFill="1" applyBorder="1"/>
    <xf numFmtId="4" fontId="15" fillId="10" borderId="17" xfId="0" applyNumberFormat="1" applyFont="1" applyFill="1" applyBorder="1"/>
    <xf numFmtId="4" fontId="0" fillId="11" borderId="17" xfId="0" applyNumberFormat="1" applyFont="1" applyFill="1" applyBorder="1"/>
    <xf numFmtId="4" fontId="0" fillId="12" borderId="17" xfId="0" applyNumberFormat="1" applyFont="1" applyFill="1" applyBorder="1"/>
    <xf numFmtId="4" fontId="0" fillId="0" borderId="7" xfId="0" applyNumberFormat="1" applyFont="1" applyBorder="1"/>
    <xf numFmtId="4" fontId="2" fillId="5" borderId="22" xfId="0" applyNumberFormat="1" applyFont="1" applyFill="1" applyBorder="1"/>
    <xf numFmtId="4" fontId="0" fillId="7" borderId="12" xfId="0" applyNumberFormat="1" applyFont="1" applyFill="1" applyBorder="1"/>
    <xf numFmtId="164" fontId="1" fillId="0" borderId="0" xfId="0" applyNumberFormat="1" applyFont="1" applyFill="1"/>
    <xf numFmtId="0" fontId="11" fillId="3" borderId="35" xfId="0" applyFont="1" applyFill="1" applyBorder="1" applyAlignment="1">
      <alignment horizontal="center" vertical="center" wrapText="1"/>
    </xf>
    <xf numFmtId="4" fontId="0" fillId="5" borderId="36" xfId="0" applyNumberFormat="1" applyFont="1" applyFill="1" applyBorder="1"/>
    <xf numFmtId="4" fontId="0" fillId="0" borderId="37" xfId="0" applyNumberFormat="1" applyFont="1" applyBorder="1"/>
    <xf numFmtId="4" fontId="0" fillId="5" borderId="37" xfId="0" applyNumberFormat="1" applyFont="1" applyFill="1" applyBorder="1"/>
    <xf numFmtId="4" fontId="0" fillId="0" borderId="37" xfId="0" applyNumberFormat="1" applyFont="1" applyFill="1" applyBorder="1"/>
    <xf numFmtId="4" fontId="15" fillId="5" borderId="37" xfId="0" applyNumberFormat="1" applyFont="1" applyFill="1" applyBorder="1" applyAlignment="1">
      <alignment vertical="center"/>
    </xf>
    <xf numFmtId="4" fontId="0" fillId="5" borderId="37" xfId="0" applyNumberFormat="1" applyFont="1" applyFill="1" applyBorder="1" applyAlignment="1">
      <alignment vertical="center"/>
    </xf>
    <xf numFmtId="4" fontId="15" fillId="0" borderId="37" xfId="0" applyNumberFormat="1" applyFont="1" applyBorder="1"/>
    <xf numFmtId="4" fontId="0" fillId="0" borderId="38" xfId="0" applyNumberFormat="1" applyFont="1" applyBorder="1"/>
    <xf numFmtId="4" fontId="2" fillId="5" borderId="39" xfId="0" applyNumberFormat="1" applyFont="1" applyFill="1" applyBorder="1"/>
    <xf numFmtId="0" fontId="15" fillId="3" borderId="40" xfId="0" applyFont="1" applyFill="1" applyBorder="1" applyAlignment="1">
      <alignment horizontal="center" vertical="center"/>
    </xf>
    <xf numFmtId="0" fontId="15" fillId="3" borderId="41" xfId="0" applyFont="1" applyFill="1" applyBorder="1" applyAlignment="1">
      <alignment horizontal="center" vertical="center"/>
    </xf>
    <xf numFmtId="0" fontId="0" fillId="3" borderId="41" xfId="0" applyFont="1" applyFill="1" applyBorder="1" applyAlignment="1">
      <alignment horizontal="center" vertical="center"/>
    </xf>
    <xf numFmtId="0" fontId="0" fillId="3" borderId="42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vertical="center"/>
    </xf>
    <xf numFmtId="0" fontId="15" fillId="5" borderId="23" xfId="0" applyFont="1" applyFill="1" applyBorder="1" applyAlignment="1">
      <alignment vertical="center"/>
    </xf>
    <xf numFmtId="4" fontId="0" fillId="5" borderId="36" xfId="0" applyNumberFormat="1" applyFont="1" applyFill="1" applyBorder="1" applyAlignment="1">
      <alignment vertical="center"/>
    </xf>
    <xf numFmtId="0" fontId="0" fillId="0" borderId="24" xfId="0" applyFont="1" applyFill="1" applyBorder="1" applyAlignment="1">
      <alignment vertical="center"/>
    </xf>
    <xf numFmtId="0" fontId="15" fillId="5" borderId="24" xfId="0" applyFont="1" applyFill="1" applyBorder="1" applyAlignment="1">
      <alignment vertical="center"/>
    </xf>
    <xf numFmtId="0" fontId="0" fillId="5" borderId="24" xfId="0" applyFont="1" applyFill="1" applyBorder="1" applyAlignment="1">
      <alignment vertical="center"/>
    </xf>
    <xf numFmtId="0" fontId="3" fillId="6" borderId="24" xfId="0" applyFont="1" applyFill="1" applyBorder="1" applyAlignment="1">
      <alignment vertical="center"/>
    </xf>
    <xf numFmtId="0" fontId="0" fillId="5" borderId="24" xfId="0" applyFont="1" applyFill="1" applyBorder="1" applyAlignment="1">
      <alignment vertical="center" wrapText="1"/>
    </xf>
    <xf numFmtId="0" fontId="0" fillId="0" borderId="25" xfId="0" applyFont="1" applyFill="1" applyBorder="1" applyAlignment="1">
      <alignment vertical="center"/>
    </xf>
    <xf numFmtId="4" fontId="2" fillId="5" borderId="39" xfId="0" applyNumberFormat="1" applyFont="1" applyFill="1" applyBorder="1" applyAlignment="1">
      <alignment vertical="center"/>
    </xf>
    <xf numFmtId="0" fontId="0" fillId="0" borderId="0" xfId="0" applyBorder="1"/>
    <xf numFmtId="4" fontId="0" fillId="0" borderId="0" xfId="0" applyNumberFormat="1" applyFont="1" applyFill="1" applyBorder="1" applyAlignment="1">
      <alignment vertical="center"/>
    </xf>
    <xf numFmtId="0" fontId="0" fillId="0" borderId="0" xfId="0" applyFill="1" applyBorder="1"/>
    <xf numFmtId="4" fontId="15" fillId="5" borderId="17" xfId="0" applyNumberFormat="1" applyFont="1" applyFill="1" applyBorder="1"/>
    <xf numFmtId="0" fontId="2" fillId="5" borderId="26" xfId="0" applyFont="1" applyFill="1" applyBorder="1" applyAlignment="1"/>
    <xf numFmtId="0" fontId="2" fillId="5" borderId="22" xfId="0" applyFont="1" applyFill="1" applyBorder="1" applyAlignment="1"/>
    <xf numFmtId="4" fontId="2" fillId="13" borderId="22" xfId="0" applyNumberFormat="1" applyFont="1" applyFill="1" applyBorder="1"/>
    <xf numFmtId="4" fontId="2" fillId="13" borderId="39" xfId="0" applyNumberFormat="1" applyFont="1" applyFill="1" applyBorder="1"/>
    <xf numFmtId="0" fontId="15" fillId="3" borderId="43" xfId="0" applyFont="1" applyFill="1" applyBorder="1" applyAlignment="1">
      <alignment horizontal="center"/>
    </xf>
    <xf numFmtId="0" fontId="15" fillId="5" borderId="3" xfId="0" applyFont="1" applyFill="1" applyBorder="1"/>
    <xf numFmtId="4" fontId="0" fillId="5" borderId="3" xfId="0" applyNumberFormat="1" applyFont="1" applyFill="1" applyBorder="1"/>
    <xf numFmtId="4" fontId="0" fillId="5" borderId="44" xfId="0" applyNumberFormat="1" applyFont="1" applyFill="1" applyBorder="1"/>
    <xf numFmtId="0" fontId="15" fillId="3" borderId="24" xfId="0" applyFont="1" applyFill="1" applyBorder="1" applyAlignment="1">
      <alignment horizontal="center"/>
    </xf>
    <xf numFmtId="0" fontId="0" fillId="3" borderId="45" xfId="0" applyFont="1" applyFill="1" applyBorder="1" applyAlignment="1">
      <alignment horizontal="center"/>
    </xf>
    <xf numFmtId="0" fontId="0" fillId="0" borderId="10" xfId="0" applyFont="1" applyFill="1" applyBorder="1"/>
    <xf numFmtId="4" fontId="0" fillId="0" borderId="10" xfId="0" applyNumberFormat="1" applyFont="1" applyFill="1" applyBorder="1"/>
    <xf numFmtId="4" fontId="15" fillId="0" borderId="10" xfId="0" applyNumberFormat="1" applyFont="1" applyFill="1" applyBorder="1"/>
    <xf numFmtId="4" fontId="0" fillId="0" borderId="35" xfId="0" applyNumberFormat="1" applyFont="1" applyFill="1" applyBorder="1"/>
    <xf numFmtId="0" fontId="11" fillId="3" borderId="1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1" fillId="4" borderId="2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1" fillId="3" borderId="34" xfId="0" applyFont="1" applyFill="1" applyBorder="1" applyAlignment="1">
      <alignment horizontal="center"/>
    </xf>
    <xf numFmtId="0" fontId="13" fillId="3" borderId="7" xfId="0" applyNumberFormat="1" applyFont="1" applyFill="1" applyBorder="1" applyAlignment="1">
      <alignment horizontal="center" vertical="center" wrapText="1"/>
    </xf>
    <xf numFmtId="0" fontId="13" fillId="3" borderId="12" xfId="0" applyNumberFormat="1" applyFont="1" applyFill="1" applyBorder="1" applyAlignment="1">
      <alignment horizontal="center" vertical="center" wrapText="1"/>
    </xf>
    <xf numFmtId="0" fontId="12" fillId="3" borderId="3" xfId="0" applyNumberFormat="1" applyFont="1" applyFill="1" applyBorder="1" applyAlignment="1">
      <alignment horizontal="center" vertical="center" wrapText="1"/>
    </xf>
    <xf numFmtId="0" fontId="12" fillId="3" borderId="10" xfId="0" applyNumberFormat="1" applyFont="1" applyFill="1" applyBorder="1" applyAlignment="1">
      <alignment horizontal="center" vertical="center" wrapText="1"/>
    </xf>
    <xf numFmtId="0" fontId="12" fillId="3" borderId="4" xfId="0" applyNumberFormat="1" applyFont="1" applyFill="1" applyBorder="1" applyAlignment="1">
      <alignment horizontal="center" vertical="center" wrapText="1"/>
    </xf>
    <xf numFmtId="0" fontId="12" fillId="3" borderId="11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/>
    </xf>
    <xf numFmtId="0" fontId="11" fillId="3" borderId="29" xfId="0" applyFont="1" applyFill="1" applyBorder="1" applyAlignment="1">
      <alignment horizontal="center" vertical="center"/>
    </xf>
    <xf numFmtId="0" fontId="11" fillId="3" borderId="30" xfId="0" applyFont="1" applyFill="1" applyBorder="1" applyAlignment="1">
      <alignment horizontal="center" vertical="center"/>
    </xf>
    <xf numFmtId="0" fontId="11" fillId="3" borderId="31" xfId="0" applyFont="1" applyFill="1" applyBorder="1" applyAlignment="1">
      <alignment horizontal="center" vertical="center"/>
    </xf>
    <xf numFmtId="0" fontId="12" fillId="3" borderId="30" xfId="0" applyNumberFormat="1" applyFont="1" applyFill="1" applyBorder="1" applyAlignment="1">
      <alignment horizontal="center" vertical="center" wrapText="1"/>
    </xf>
    <xf numFmtId="0" fontId="12" fillId="3" borderId="3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2" fillId="3" borderId="32" xfId="0" applyNumberFormat="1" applyFont="1" applyFill="1" applyBorder="1" applyAlignment="1">
      <alignment horizontal="center" vertical="center" wrapText="1"/>
    </xf>
    <xf numFmtId="0" fontId="12" fillId="3" borderId="33" xfId="0" applyNumberFormat="1" applyFont="1" applyFill="1" applyBorder="1" applyAlignment="1">
      <alignment horizontal="center" vertical="center" wrapText="1"/>
    </xf>
    <xf numFmtId="0" fontId="12" fillId="4" borderId="32" xfId="0" applyNumberFormat="1" applyFont="1" applyFill="1" applyBorder="1" applyAlignment="1">
      <alignment horizontal="center" vertical="center" wrapText="1"/>
    </xf>
    <xf numFmtId="0" fontId="12" fillId="4" borderId="33" xfId="0" applyNumberFormat="1" applyFont="1" applyFill="1" applyBorder="1" applyAlignment="1">
      <alignment horizontal="center" vertical="center" wrapText="1"/>
    </xf>
    <xf numFmtId="0" fontId="12" fillId="4" borderId="3" xfId="0" applyNumberFormat="1" applyFont="1" applyFill="1" applyBorder="1" applyAlignment="1">
      <alignment horizontal="center" vertical="center" wrapText="1"/>
    </xf>
    <xf numFmtId="0" fontId="12" fillId="4" borderId="10" xfId="0" applyNumberFormat="1" applyFont="1" applyFill="1" applyBorder="1" applyAlignment="1">
      <alignment horizontal="center" vertical="center" wrapText="1"/>
    </xf>
    <xf numFmtId="0" fontId="12" fillId="4" borderId="44" xfId="0" applyNumberFormat="1" applyFont="1" applyFill="1" applyBorder="1" applyAlignment="1">
      <alignment horizontal="center" vertical="center" wrapText="1"/>
    </xf>
    <xf numFmtId="0" fontId="12" fillId="4" borderId="35" xfId="0" applyNumberFormat="1" applyFont="1" applyFill="1" applyBorder="1" applyAlignment="1">
      <alignment horizontal="center" vertical="center" wrapText="1"/>
    </xf>
    <xf numFmtId="0" fontId="11" fillId="3" borderId="43" xfId="0" applyFont="1" applyFill="1" applyBorder="1" applyAlignment="1">
      <alignment horizontal="center" vertical="center"/>
    </xf>
    <xf numFmtId="0" fontId="11" fillId="3" borderId="4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4" fontId="4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FF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89"/>
  <sheetViews>
    <sheetView tabSelected="1" topLeftCell="D8" zoomScale="87" zoomScaleNormal="87" workbookViewId="0">
      <selection activeCell="P51" sqref="P51"/>
    </sheetView>
  </sheetViews>
  <sheetFormatPr defaultRowHeight="15" x14ac:dyDescent="0.25"/>
  <cols>
    <col min="1" max="1" width="14.42578125" customWidth="1"/>
    <col min="2" max="2" width="37.5703125" customWidth="1"/>
    <col min="3" max="3" width="29.7109375" customWidth="1"/>
    <col min="4" max="4" width="20.42578125" customWidth="1"/>
    <col min="5" max="7" width="23.28515625" customWidth="1"/>
    <col min="8" max="8" width="28.140625" customWidth="1"/>
    <col min="9" max="9" width="26.42578125" customWidth="1"/>
    <col min="10" max="10" width="24.28515625" customWidth="1"/>
    <col min="11" max="11" width="24" customWidth="1"/>
    <col min="12" max="12" width="24.28515625" customWidth="1"/>
    <col min="13" max="14" width="24.85546875" customWidth="1"/>
    <col min="15" max="15" width="18.85546875" customWidth="1"/>
    <col min="16" max="16" width="16.140625" customWidth="1"/>
    <col min="17" max="17" width="20.42578125" hidden="1" customWidth="1"/>
    <col min="18" max="18" width="9.140625" customWidth="1"/>
  </cols>
  <sheetData>
    <row r="1" spans="1:18" x14ac:dyDescent="0.25">
      <c r="A1" t="s">
        <v>126</v>
      </c>
    </row>
    <row r="2" spans="1:18" x14ac:dyDescent="0.25">
      <c r="A2" t="s">
        <v>125</v>
      </c>
    </row>
    <row r="3" spans="1:18" ht="31.5" x14ac:dyDescent="0.5">
      <c r="K3" s="3"/>
      <c r="L3" s="4"/>
      <c r="M3" s="5"/>
      <c r="N3" s="6"/>
      <c r="O3" s="7"/>
    </row>
    <row r="4" spans="1:18" ht="34.5" thickBot="1" x14ac:dyDescent="0.55000000000000004">
      <c r="A4" s="8" t="s">
        <v>84</v>
      </c>
      <c r="B4" s="8">
        <v>2018</v>
      </c>
      <c r="C4" s="8"/>
      <c r="D4" s="8"/>
      <c r="E4" s="2"/>
      <c r="F4" s="2" t="s">
        <v>90</v>
      </c>
      <c r="G4" s="2"/>
      <c r="H4" s="2"/>
      <c r="I4" s="2"/>
      <c r="J4" s="2" t="s">
        <v>0</v>
      </c>
      <c r="K4" s="9"/>
      <c r="L4" s="10"/>
      <c r="M4" s="11"/>
      <c r="N4" s="9"/>
      <c r="O4" s="10"/>
      <c r="P4" s="2"/>
      <c r="Q4" s="2"/>
      <c r="R4" s="2"/>
    </row>
    <row r="5" spans="1:18" ht="15" customHeight="1" x14ac:dyDescent="0.3">
      <c r="A5" s="152" t="s">
        <v>1</v>
      </c>
      <c r="B5" s="154" t="s">
        <v>2</v>
      </c>
      <c r="C5" s="167" t="s">
        <v>119</v>
      </c>
      <c r="D5" s="169" t="s">
        <v>123</v>
      </c>
      <c r="E5" s="165" t="s">
        <v>120</v>
      </c>
      <c r="F5" s="165" t="s">
        <v>121</v>
      </c>
      <c r="G5" s="165" t="s">
        <v>122</v>
      </c>
      <c r="H5" s="163" t="s">
        <v>3</v>
      </c>
      <c r="I5" s="156" t="s">
        <v>4</v>
      </c>
      <c r="J5" s="157"/>
      <c r="K5" s="157"/>
      <c r="L5" s="157"/>
      <c r="M5" s="158"/>
      <c r="N5" s="159"/>
      <c r="O5" s="160"/>
      <c r="Q5" s="161" t="s">
        <v>5</v>
      </c>
    </row>
    <row r="6" spans="1:18" ht="135.75" customHeight="1" thickBot="1" x14ac:dyDescent="0.3">
      <c r="A6" s="153"/>
      <c r="B6" s="155"/>
      <c r="C6" s="168"/>
      <c r="D6" s="170"/>
      <c r="E6" s="166"/>
      <c r="F6" s="166"/>
      <c r="G6" s="166"/>
      <c r="H6" s="164"/>
      <c r="I6" s="12" t="s">
        <v>6</v>
      </c>
      <c r="J6" s="13" t="s">
        <v>66</v>
      </c>
      <c r="K6" s="13" t="s">
        <v>67</v>
      </c>
      <c r="L6" s="13" t="s">
        <v>68</v>
      </c>
      <c r="M6" s="13" t="s">
        <v>69</v>
      </c>
      <c r="N6" s="14" t="s">
        <v>95</v>
      </c>
      <c r="O6" s="110" t="s">
        <v>7</v>
      </c>
      <c r="Q6" s="162" t="s">
        <v>8</v>
      </c>
    </row>
    <row r="7" spans="1:18" s="1" customFormat="1" ht="15" customHeight="1" x14ac:dyDescent="0.25">
      <c r="A7" s="15">
        <v>3110</v>
      </c>
      <c r="B7" s="16" t="s">
        <v>9</v>
      </c>
      <c r="C7" s="93">
        <v>0</v>
      </c>
      <c r="D7" s="93"/>
      <c r="E7" s="92"/>
      <c r="F7" s="92"/>
      <c r="G7" s="92">
        <f>C7+D7+E7+F7</f>
        <v>0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2">
        <f>G7-K7</f>
        <v>0</v>
      </c>
      <c r="O7" s="111">
        <f>H7-L7</f>
        <v>0</v>
      </c>
      <c r="P7" s="17"/>
      <c r="Q7" s="18" t="e">
        <f>IF(N7&gt;0,#REF!+#REF!+N7-#REF!,#REF!+#REF!-#REF!)</f>
        <v>#REF!</v>
      </c>
    </row>
    <row r="8" spans="1:18" s="1" customFormat="1" ht="15" customHeight="1" x14ac:dyDescent="0.25">
      <c r="A8" s="19">
        <v>3111</v>
      </c>
      <c r="B8" s="20" t="s">
        <v>10</v>
      </c>
      <c r="C8" s="94">
        <v>0</v>
      </c>
      <c r="D8" s="94"/>
      <c r="E8" s="101">
        <v>182917</v>
      </c>
      <c r="F8" s="101"/>
      <c r="G8" s="92">
        <f t="shared" ref="G8:G57" si="0">C8+D8+E8+F8</f>
        <v>182917</v>
      </c>
      <c r="H8" s="101">
        <v>0</v>
      </c>
      <c r="I8" s="101">
        <v>971910</v>
      </c>
      <c r="J8" s="101">
        <v>0</v>
      </c>
      <c r="K8" s="101">
        <v>0</v>
      </c>
      <c r="L8" s="101">
        <v>0</v>
      </c>
      <c r="M8" s="101">
        <v>971909.18</v>
      </c>
      <c r="N8" s="92">
        <f t="shared" ref="N8:N57" si="1">G8-K8</f>
        <v>182917</v>
      </c>
      <c r="O8" s="112">
        <f t="shared" ref="O8:O57" si="2">H8-L8</f>
        <v>0</v>
      </c>
      <c r="P8" s="17"/>
      <c r="Q8" s="21" t="e">
        <f>IF(N8&gt;0,#REF!+#REF!+N8-#REF!,#REF!+#REF!-#REF!)</f>
        <v>#REF!</v>
      </c>
    </row>
    <row r="9" spans="1:18" s="1" customFormat="1" ht="15" customHeight="1" x14ac:dyDescent="0.25">
      <c r="A9" s="19">
        <v>3112</v>
      </c>
      <c r="B9" s="20" t="s">
        <v>11</v>
      </c>
      <c r="C9" s="94">
        <v>53041</v>
      </c>
      <c r="D9" s="94"/>
      <c r="E9" s="101">
        <v>15309</v>
      </c>
      <c r="F9" s="101"/>
      <c r="G9" s="92">
        <f t="shared" si="0"/>
        <v>68350</v>
      </c>
      <c r="H9" s="101">
        <v>0</v>
      </c>
      <c r="I9" s="101">
        <v>1071238</v>
      </c>
      <c r="J9" s="101">
        <v>0</v>
      </c>
      <c r="K9" s="101">
        <v>0</v>
      </c>
      <c r="L9" s="101">
        <v>0</v>
      </c>
      <c r="M9" s="101">
        <v>1071238.1399999999</v>
      </c>
      <c r="N9" s="92">
        <f t="shared" si="1"/>
        <v>68350</v>
      </c>
      <c r="O9" s="112">
        <f t="shared" si="2"/>
        <v>0</v>
      </c>
      <c r="P9" s="17"/>
      <c r="Q9" s="21" t="e">
        <f>IF(N9&gt;0,#REF!+#REF!+N9-#REF!,#REF!+#REF!-#REF!)</f>
        <v>#REF!</v>
      </c>
    </row>
    <row r="10" spans="1:18" s="1" customFormat="1" ht="15" customHeight="1" x14ac:dyDescent="0.25">
      <c r="A10" s="19">
        <v>3113</v>
      </c>
      <c r="B10" s="20" t="s">
        <v>12</v>
      </c>
      <c r="C10" s="94">
        <v>6734</v>
      </c>
      <c r="D10" s="94"/>
      <c r="E10" s="86">
        <v>139727</v>
      </c>
      <c r="F10" s="86">
        <v>-146000</v>
      </c>
      <c r="G10" s="92">
        <f t="shared" si="0"/>
        <v>461</v>
      </c>
      <c r="H10" s="101">
        <v>0</v>
      </c>
      <c r="I10" s="101">
        <v>737170</v>
      </c>
      <c r="J10" s="101">
        <v>0</v>
      </c>
      <c r="K10" s="101">
        <v>0</v>
      </c>
      <c r="L10" s="101">
        <v>0</v>
      </c>
      <c r="M10" s="101">
        <v>737169.13</v>
      </c>
      <c r="N10" s="92">
        <f t="shared" si="1"/>
        <v>461</v>
      </c>
      <c r="O10" s="112">
        <f t="shared" si="2"/>
        <v>0</v>
      </c>
      <c r="P10" s="17"/>
      <c r="Q10" s="21" t="e">
        <f>IF(N10&gt;0,#REF!+#REF!+N10-#REF!,#REF!+#REF!-#REF!)</f>
        <v>#REF!</v>
      </c>
    </row>
    <row r="11" spans="1:18" s="1" customFormat="1" ht="15" customHeight="1" x14ac:dyDescent="0.25">
      <c r="A11" s="19">
        <v>3120</v>
      </c>
      <c r="B11" s="22" t="s">
        <v>13</v>
      </c>
      <c r="C11" s="95">
        <v>0</v>
      </c>
      <c r="D11" s="95"/>
      <c r="E11" s="91">
        <v>0</v>
      </c>
      <c r="F11" s="91"/>
      <c r="G11" s="92">
        <f t="shared" si="0"/>
        <v>0</v>
      </c>
      <c r="H11" s="91">
        <v>0</v>
      </c>
      <c r="I11" s="91">
        <v>0</v>
      </c>
      <c r="J11" s="91">
        <v>0</v>
      </c>
      <c r="K11" s="91">
        <v>0</v>
      </c>
      <c r="L11" s="91">
        <v>0</v>
      </c>
      <c r="M11" s="91">
        <v>0</v>
      </c>
      <c r="N11" s="92">
        <f t="shared" si="1"/>
        <v>0</v>
      </c>
      <c r="O11" s="113">
        <f t="shared" si="2"/>
        <v>0</v>
      </c>
      <c r="P11" s="17"/>
      <c r="Q11" s="18" t="e">
        <f>IF(N11&gt;0,#REF!+#REF!+N11-#REF!,#REF!+#REF!-#REF!)</f>
        <v>#REF!</v>
      </c>
    </row>
    <row r="12" spans="1:18" s="1" customFormat="1" ht="15" customHeight="1" x14ac:dyDescent="0.25">
      <c r="A12" s="19">
        <v>3122</v>
      </c>
      <c r="B12" s="20" t="s">
        <v>14</v>
      </c>
      <c r="C12" s="94">
        <v>-10096.070000000007</v>
      </c>
      <c r="D12" s="94"/>
      <c r="E12" s="101">
        <v>248304</v>
      </c>
      <c r="F12" s="101"/>
      <c r="G12" s="92">
        <f t="shared" si="0"/>
        <v>238207.93</v>
      </c>
      <c r="H12" s="101">
        <v>0</v>
      </c>
      <c r="I12" s="101">
        <v>2838238</v>
      </c>
      <c r="J12" s="101">
        <v>954840.7</v>
      </c>
      <c r="K12" s="101">
        <v>140347.70000000001</v>
      </c>
      <c r="L12" s="101">
        <v>0</v>
      </c>
      <c r="M12" s="101">
        <v>2041122.0599999996</v>
      </c>
      <c r="N12" s="92">
        <f t="shared" si="1"/>
        <v>97860.229999999981</v>
      </c>
      <c r="O12" s="112">
        <f t="shared" si="2"/>
        <v>0</v>
      </c>
      <c r="P12" s="17"/>
      <c r="Q12" s="21" t="e">
        <f>IF(N12&gt;0,#REF!+#REF!+N12-#REF!,#REF!+#REF!-#REF!)</f>
        <v>#REF!</v>
      </c>
    </row>
    <row r="13" spans="1:18" s="1" customFormat="1" ht="15" customHeight="1" x14ac:dyDescent="0.25">
      <c r="A13" s="19">
        <v>3123</v>
      </c>
      <c r="B13" s="20" t="s">
        <v>15</v>
      </c>
      <c r="C13" s="94">
        <v>-286037.40000000008</v>
      </c>
      <c r="D13" s="94"/>
      <c r="E13" s="86">
        <v>1064090</v>
      </c>
      <c r="F13" s="86">
        <f>146000+100000</f>
        <v>246000</v>
      </c>
      <c r="G13" s="92">
        <f t="shared" si="0"/>
        <v>1024052.5999999999</v>
      </c>
      <c r="H13" s="101">
        <v>500000</v>
      </c>
      <c r="I13" s="101">
        <v>5454277</v>
      </c>
      <c r="J13" s="101">
        <v>1199003.3500000001</v>
      </c>
      <c r="K13" s="86">
        <v>353898.31000000006</v>
      </c>
      <c r="L13" s="86">
        <v>500000</v>
      </c>
      <c r="M13" s="86">
        <v>2654969.64</v>
      </c>
      <c r="N13" s="92">
        <f t="shared" si="1"/>
        <v>670154.2899999998</v>
      </c>
      <c r="O13" s="114">
        <f t="shared" si="2"/>
        <v>0</v>
      </c>
      <c r="P13" s="17"/>
      <c r="Q13" s="21" t="e">
        <f>IF(N13&gt;0,#REF!+#REF!+N13-#REF!,#REF!+#REF!-#REF!)</f>
        <v>#REF!</v>
      </c>
    </row>
    <row r="14" spans="1:18" s="1" customFormat="1" ht="15" customHeight="1" x14ac:dyDescent="0.25">
      <c r="A14" s="19">
        <v>3125</v>
      </c>
      <c r="B14" s="20" t="s">
        <v>16</v>
      </c>
      <c r="C14" s="94">
        <v>73356.160000000003</v>
      </c>
      <c r="D14" s="94"/>
      <c r="E14" s="101">
        <v>111960</v>
      </c>
      <c r="F14" s="101"/>
      <c r="G14" s="92">
        <f t="shared" si="0"/>
        <v>185316.16</v>
      </c>
      <c r="H14" s="101">
        <v>0</v>
      </c>
      <c r="I14" s="101">
        <v>0</v>
      </c>
      <c r="J14" s="101">
        <v>0</v>
      </c>
      <c r="K14" s="86">
        <v>0</v>
      </c>
      <c r="L14" s="86">
        <v>0</v>
      </c>
      <c r="M14" s="86">
        <v>112469.48999999999</v>
      </c>
      <c r="N14" s="92">
        <f t="shared" si="1"/>
        <v>185316.16</v>
      </c>
      <c r="O14" s="114">
        <f t="shared" si="2"/>
        <v>0</v>
      </c>
      <c r="P14" s="17"/>
      <c r="Q14" s="21" t="e">
        <f>IF(N14&gt;0,#REF!+#REF!+N14-#REF!,#REF!+#REF!-#REF!)</f>
        <v>#REF!</v>
      </c>
    </row>
    <row r="15" spans="1:18" s="1" customFormat="1" ht="15" customHeight="1" x14ac:dyDescent="0.25">
      <c r="A15" s="19">
        <v>3127</v>
      </c>
      <c r="B15" s="20" t="s">
        <v>17</v>
      </c>
      <c r="C15" s="94">
        <v>59011.130000000005</v>
      </c>
      <c r="D15" s="94"/>
      <c r="E15" s="101">
        <v>62574</v>
      </c>
      <c r="F15" s="101"/>
      <c r="G15" s="92">
        <f t="shared" si="0"/>
        <v>121585.13</v>
      </c>
      <c r="H15" s="101">
        <v>0</v>
      </c>
      <c r="I15" s="101">
        <v>1141000</v>
      </c>
      <c r="J15" s="101">
        <v>0</v>
      </c>
      <c r="K15" s="101">
        <v>0</v>
      </c>
      <c r="L15" s="101">
        <v>0</v>
      </c>
      <c r="M15" s="101">
        <v>977584.04999999958</v>
      </c>
      <c r="N15" s="92">
        <f t="shared" si="1"/>
        <v>121585.13</v>
      </c>
      <c r="O15" s="112">
        <f t="shared" si="2"/>
        <v>0</v>
      </c>
      <c r="P15" s="17"/>
      <c r="Q15" s="21" t="e">
        <f>IF(N15&gt;0,#REF!+#REF!+N15-#REF!,#REF!+#REF!-#REF!)</f>
        <v>#REF!</v>
      </c>
    </row>
    <row r="16" spans="1:18" s="1" customFormat="1" ht="15" customHeight="1" x14ac:dyDescent="0.25">
      <c r="A16" s="19">
        <v>3130</v>
      </c>
      <c r="B16" s="22" t="s">
        <v>18</v>
      </c>
      <c r="C16" s="95">
        <v>0</v>
      </c>
      <c r="D16" s="95"/>
      <c r="E16" s="91">
        <v>0</v>
      </c>
      <c r="F16" s="91"/>
      <c r="G16" s="92">
        <f t="shared" si="0"/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2">
        <f t="shared" si="1"/>
        <v>0</v>
      </c>
      <c r="O16" s="113">
        <f t="shared" si="2"/>
        <v>0</v>
      </c>
      <c r="P16" s="17"/>
      <c r="Q16" s="18" t="e">
        <f>IF(N16&gt;0,#REF!+#REF!+N16-#REF!,#REF!+#REF!-#REF!)</f>
        <v>#REF!</v>
      </c>
    </row>
    <row r="17" spans="1:17" s="1" customFormat="1" ht="15" customHeight="1" x14ac:dyDescent="0.25">
      <c r="A17" s="19">
        <v>3131</v>
      </c>
      <c r="B17" s="20" t="s">
        <v>19</v>
      </c>
      <c r="C17" s="94">
        <v>1022454.5000000001</v>
      </c>
      <c r="D17" s="94"/>
      <c r="E17" s="86">
        <v>756846</v>
      </c>
      <c r="F17" s="86"/>
      <c r="G17" s="92">
        <f t="shared" si="0"/>
        <v>1779300.5</v>
      </c>
      <c r="H17" s="101">
        <v>0</v>
      </c>
      <c r="I17" s="101">
        <v>1358080</v>
      </c>
      <c r="J17" s="101">
        <v>3594368.5</v>
      </c>
      <c r="K17" s="101">
        <v>495705.3</v>
      </c>
      <c r="L17" s="101">
        <v>0</v>
      </c>
      <c r="M17" s="101">
        <v>1382752.9100000001</v>
      </c>
      <c r="N17" s="92">
        <f t="shared" si="1"/>
        <v>1283595.2</v>
      </c>
      <c r="O17" s="112">
        <f t="shared" si="2"/>
        <v>0</v>
      </c>
      <c r="P17" s="17"/>
      <c r="Q17" s="21" t="e">
        <f>IF(N17&gt;0,#REF!+#REF!+N17-#REF!,#REF!+#REF!-#REF!)</f>
        <v>#REF!</v>
      </c>
    </row>
    <row r="18" spans="1:17" s="1" customFormat="1" ht="15" customHeight="1" x14ac:dyDescent="0.25">
      <c r="A18" s="19">
        <v>3132</v>
      </c>
      <c r="B18" s="20" t="s">
        <v>20</v>
      </c>
      <c r="C18" s="94">
        <v>2758678.33</v>
      </c>
      <c r="D18" s="94"/>
      <c r="E18" s="86">
        <v>1488407</v>
      </c>
      <c r="F18" s="86">
        <v>-400000</v>
      </c>
      <c r="G18" s="92">
        <f t="shared" si="0"/>
        <v>3847085.33</v>
      </c>
      <c r="H18" s="101">
        <v>0</v>
      </c>
      <c r="I18" s="101">
        <v>4088238</v>
      </c>
      <c r="J18" s="101">
        <v>597256</v>
      </c>
      <c r="K18" s="101">
        <v>1101475.1000000001</v>
      </c>
      <c r="L18" s="101">
        <v>0</v>
      </c>
      <c r="M18" s="101">
        <v>3034295.6500000004</v>
      </c>
      <c r="N18" s="92">
        <f t="shared" si="1"/>
        <v>2745610.23</v>
      </c>
      <c r="O18" s="112">
        <f t="shared" si="2"/>
        <v>0</v>
      </c>
      <c r="P18" s="17"/>
      <c r="Q18" s="21" t="e">
        <f>IF(N18&gt;0,#REF!+#REF!+N18-#REF!,#REF!+#REF!-#REF!)</f>
        <v>#REF!</v>
      </c>
    </row>
    <row r="19" spans="1:17" s="1" customFormat="1" ht="15" customHeight="1" x14ac:dyDescent="0.25">
      <c r="A19" s="19">
        <v>3133</v>
      </c>
      <c r="B19" s="20" t="s">
        <v>21</v>
      </c>
      <c r="C19" s="94">
        <v>305996.19</v>
      </c>
      <c r="D19" s="94"/>
      <c r="E19" s="101">
        <v>207492</v>
      </c>
      <c r="F19" s="101"/>
      <c r="G19" s="92">
        <f t="shared" si="0"/>
        <v>513488.19</v>
      </c>
      <c r="H19" s="101">
        <v>0</v>
      </c>
      <c r="I19" s="101">
        <v>2131382</v>
      </c>
      <c r="J19" s="101">
        <v>0</v>
      </c>
      <c r="K19" s="101">
        <v>0</v>
      </c>
      <c r="L19" s="101">
        <v>0</v>
      </c>
      <c r="M19" s="101">
        <v>2095822.4300000002</v>
      </c>
      <c r="N19" s="92">
        <f t="shared" si="1"/>
        <v>513488.19</v>
      </c>
      <c r="O19" s="112">
        <f t="shared" si="2"/>
        <v>0</v>
      </c>
      <c r="P19" s="17"/>
      <c r="Q19" s="21" t="e">
        <f>IF(N19&gt;0,#REF!+#REF!+N19-#REF!,#REF!+#REF!-#REF!)</f>
        <v>#REF!</v>
      </c>
    </row>
    <row r="20" spans="1:17" s="1" customFormat="1" ht="15" customHeight="1" x14ac:dyDescent="0.25">
      <c r="A20" s="19">
        <v>3134</v>
      </c>
      <c r="B20" s="20" t="s">
        <v>22</v>
      </c>
      <c r="C20" s="94">
        <v>776720.60000000009</v>
      </c>
      <c r="D20" s="94"/>
      <c r="E20" s="101">
        <v>915606.01</v>
      </c>
      <c r="F20" s="101"/>
      <c r="G20" s="92">
        <f t="shared" si="0"/>
        <v>1692326.61</v>
      </c>
      <c r="H20" s="101">
        <v>0</v>
      </c>
      <c r="I20" s="101">
        <v>0</v>
      </c>
      <c r="J20" s="101">
        <v>0</v>
      </c>
      <c r="K20" s="86">
        <v>3048326.1999999997</v>
      </c>
      <c r="L20" s="86">
        <v>0</v>
      </c>
      <c r="M20" s="86">
        <v>0</v>
      </c>
      <c r="N20" s="92">
        <f t="shared" si="1"/>
        <v>-1355999.5899999996</v>
      </c>
      <c r="O20" s="114">
        <f t="shared" si="2"/>
        <v>0</v>
      </c>
      <c r="P20" s="17"/>
      <c r="Q20" s="21" t="e">
        <f>IF(N20&gt;0,#REF!+#REF!+N20-#REF!,#REF!+#REF!-#REF!)</f>
        <v>#REF!</v>
      </c>
    </row>
    <row r="21" spans="1:17" s="1" customFormat="1" ht="15" customHeight="1" x14ac:dyDescent="0.25">
      <c r="A21" s="19">
        <v>3135</v>
      </c>
      <c r="B21" s="20" t="s">
        <v>23</v>
      </c>
      <c r="C21" s="94">
        <v>427017.65</v>
      </c>
      <c r="D21" s="94"/>
      <c r="E21" s="101">
        <v>462260</v>
      </c>
      <c r="F21" s="101"/>
      <c r="G21" s="92">
        <f t="shared" si="0"/>
        <v>889277.65</v>
      </c>
      <c r="H21" s="101">
        <v>0</v>
      </c>
      <c r="I21" s="101">
        <v>903600</v>
      </c>
      <c r="J21" s="101">
        <v>535425</v>
      </c>
      <c r="K21" s="86">
        <v>373597.91</v>
      </c>
      <c r="L21" s="86">
        <v>0</v>
      </c>
      <c r="M21" s="86">
        <v>925724.97</v>
      </c>
      <c r="N21" s="92">
        <f t="shared" si="1"/>
        <v>515679.74000000005</v>
      </c>
      <c r="O21" s="114">
        <f t="shared" si="2"/>
        <v>0</v>
      </c>
      <c r="P21" s="17"/>
      <c r="Q21" s="21" t="e">
        <f>IF(N21&gt;0,#REF!+#REF!+N21-#REF!,#REF!+#REF!-#REF!)</f>
        <v>#REF!</v>
      </c>
    </row>
    <row r="22" spans="1:17" s="1" customFormat="1" ht="15" customHeight="1" x14ac:dyDescent="0.25">
      <c r="A22" s="19">
        <v>3140</v>
      </c>
      <c r="B22" s="22" t="s">
        <v>24</v>
      </c>
      <c r="C22" s="95">
        <v>0</v>
      </c>
      <c r="D22" s="95"/>
      <c r="E22" s="91">
        <v>0</v>
      </c>
      <c r="F22" s="91"/>
      <c r="G22" s="92">
        <f t="shared" si="0"/>
        <v>0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  <c r="N22" s="92">
        <f t="shared" si="1"/>
        <v>0</v>
      </c>
      <c r="O22" s="113">
        <f t="shared" si="2"/>
        <v>0</v>
      </c>
      <c r="P22" s="17"/>
      <c r="Q22" s="18" t="e">
        <f>IF(N22&gt;0,#REF!+#REF!+N22-#REF!,#REF!+#REF!-#REF!)</f>
        <v>#REF!</v>
      </c>
    </row>
    <row r="23" spans="1:17" s="1" customFormat="1" ht="15" customHeight="1" x14ac:dyDescent="0.25">
      <c r="A23" s="19">
        <v>3141</v>
      </c>
      <c r="B23" s="20" t="s">
        <v>25</v>
      </c>
      <c r="C23" s="94">
        <v>270420</v>
      </c>
      <c r="D23" s="94"/>
      <c r="E23" s="101">
        <v>284724</v>
      </c>
      <c r="F23" s="101"/>
      <c r="G23" s="92">
        <f t="shared" si="0"/>
        <v>555144</v>
      </c>
      <c r="H23" s="101">
        <v>0</v>
      </c>
      <c r="I23" s="101">
        <v>436500</v>
      </c>
      <c r="J23" s="101">
        <v>0</v>
      </c>
      <c r="K23" s="101">
        <v>0</v>
      </c>
      <c r="L23" s="101">
        <v>0</v>
      </c>
      <c r="M23" s="101">
        <v>11618.9</v>
      </c>
      <c r="N23" s="92">
        <f t="shared" si="1"/>
        <v>555144</v>
      </c>
      <c r="O23" s="112">
        <f t="shared" si="2"/>
        <v>0</v>
      </c>
      <c r="P23" s="17"/>
      <c r="Q23" s="21" t="e">
        <f>IF(N23&gt;0,#REF!+#REF!+N23-#REF!,#REF!+#REF!-#REF!)</f>
        <v>#REF!</v>
      </c>
    </row>
    <row r="24" spans="1:17" s="1" customFormat="1" ht="15" customHeight="1" x14ac:dyDescent="0.25">
      <c r="A24" s="19">
        <v>3142</v>
      </c>
      <c r="B24" s="20" t="s">
        <v>26</v>
      </c>
      <c r="C24" s="94">
        <v>-264984.33000000007</v>
      </c>
      <c r="D24" s="94"/>
      <c r="E24" s="86">
        <v>968126</v>
      </c>
      <c r="F24" s="86">
        <f>1000000+800000+400000-711463.31</f>
        <v>1488536.69</v>
      </c>
      <c r="G24" s="92">
        <f t="shared" si="0"/>
        <v>2191678.36</v>
      </c>
      <c r="H24" s="101">
        <v>1491930</v>
      </c>
      <c r="I24" s="101">
        <v>115000</v>
      </c>
      <c r="J24" s="101">
        <v>1615301.15</v>
      </c>
      <c r="K24" s="101">
        <v>2064347.3499999999</v>
      </c>
      <c r="L24" s="101">
        <v>1491930</v>
      </c>
      <c r="M24" s="101">
        <v>90769.590000000011</v>
      </c>
      <c r="N24" s="92">
        <f t="shared" si="1"/>
        <v>127331.01000000001</v>
      </c>
      <c r="O24" s="112">
        <f t="shared" si="2"/>
        <v>0</v>
      </c>
      <c r="P24" s="17"/>
      <c r="Q24" s="21" t="e">
        <f>IF(N24&gt;0,#REF!+#REF!+N24-#REF!,#REF!+#REF!-#REF!)</f>
        <v>#REF!</v>
      </c>
    </row>
    <row r="25" spans="1:17" s="1" customFormat="1" ht="15" customHeight="1" x14ac:dyDescent="0.25">
      <c r="A25" s="19">
        <v>3143</v>
      </c>
      <c r="B25" s="20" t="s">
        <v>27</v>
      </c>
      <c r="C25" s="94">
        <v>839333.81</v>
      </c>
      <c r="D25" s="94"/>
      <c r="E25" s="101">
        <v>691518.01</v>
      </c>
      <c r="F25" s="101"/>
      <c r="G25" s="92">
        <f t="shared" si="0"/>
        <v>1530851.82</v>
      </c>
      <c r="H25" s="101">
        <v>0</v>
      </c>
      <c r="I25" s="101">
        <v>240000</v>
      </c>
      <c r="J25" s="101">
        <v>65158.5</v>
      </c>
      <c r="K25" s="86">
        <v>313394.07999999996</v>
      </c>
      <c r="L25" s="86">
        <v>0</v>
      </c>
      <c r="M25" s="86">
        <v>44359.729999999996</v>
      </c>
      <c r="N25" s="92">
        <f t="shared" si="1"/>
        <v>1217457.7400000002</v>
      </c>
      <c r="O25" s="114">
        <f t="shared" si="2"/>
        <v>0</v>
      </c>
      <c r="P25" s="17"/>
      <c r="Q25" s="21" t="e">
        <f>IF(N25&gt;0,#REF!+#REF!+N25-#REF!,#REF!+#REF!-#REF!)</f>
        <v>#REF!</v>
      </c>
    </row>
    <row r="26" spans="1:17" s="1" customFormat="1" ht="15" customHeight="1" x14ac:dyDescent="0.25">
      <c r="A26" s="19">
        <v>3144</v>
      </c>
      <c r="B26" s="20" t="s">
        <v>28</v>
      </c>
      <c r="C26" s="94">
        <v>104254</v>
      </c>
      <c r="D26" s="94"/>
      <c r="E26" s="101">
        <v>58069</v>
      </c>
      <c r="F26" s="101"/>
      <c r="G26" s="92">
        <f t="shared" si="0"/>
        <v>162323</v>
      </c>
      <c r="H26" s="101">
        <v>0</v>
      </c>
      <c r="I26" s="101">
        <v>314800</v>
      </c>
      <c r="J26" s="101">
        <v>41019</v>
      </c>
      <c r="K26" s="86">
        <v>92311</v>
      </c>
      <c r="L26" s="86">
        <v>0</v>
      </c>
      <c r="M26" s="86">
        <v>131962.92000000001</v>
      </c>
      <c r="N26" s="92">
        <f t="shared" si="1"/>
        <v>70012</v>
      </c>
      <c r="O26" s="114">
        <f t="shared" si="2"/>
        <v>0</v>
      </c>
      <c r="P26" s="17"/>
      <c r="Q26" s="21" t="e">
        <f>IF(N26&gt;0,#REF!+#REF!+N26-#REF!,#REF!+#REF!-#REF!)</f>
        <v>#REF!</v>
      </c>
    </row>
    <row r="27" spans="1:17" s="1" customFormat="1" ht="15" customHeight="1" x14ac:dyDescent="0.25">
      <c r="A27" s="19">
        <v>3145</v>
      </c>
      <c r="B27" s="20" t="s">
        <v>29</v>
      </c>
      <c r="C27" s="94">
        <v>227089.02000000019</v>
      </c>
      <c r="D27" s="94"/>
      <c r="E27" s="86">
        <v>1748645.58</v>
      </c>
      <c r="F27" s="86">
        <f>-1000000-800000</f>
        <v>-1800000</v>
      </c>
      <c r="G27" s="92">
        <f t="shared" si="0"/>
        <v>175734.60000000033</v>
      </c>
      <c r="H27" s="101">
        <v>0</v>
      </c>
      <c r="I27" s="101">
        <v>0</v>
      </c>
      <c r="J27" s="101">
        <v>145200</v>
      </c>
      <c r="K27" s="101">
        <v>145200</v>
      </c>
      <c r="L27" s="101">
        <v>0</v>
      </c>
      <c r="M27" s="101">
        <v>0</v>
      </c>
      <c r="N27" s="92">
        <f t="shared" si="1"/>
        <v>30534.600000000326</v>
      </c>
      <c r="O27" s="112">
        <f t="shared" si="2"/>
        <v>0</v>
      </c>
      <c r="P27" s="17"/>
      <c r="Q27" s="21" t="e">
        <f>IF(N27&gt;0,#REF!+#REF!+N27-#REF!,#REF!+#REF!-#REF!)</f>
        <v>#REF!</v>
      </c>
    </row>
    <row r="28" spans="1:17" s="1" customFormat="1" ht="15" customHeight="1" x14ac:dyDescent="0.25">
      <c r="A28" s="19">
        <v>3150</v>
      </c>
      <c r="B28" s="22" t="s">
        <v>30</v>
      </c>
      <c r="C28" s="95">
        <v>0</v>
      </c>
      <c r="D28" s="95"/>
      <c r="E28" s="91">
        <v>0</v>
      </c>
      <c r="F28" s="91"/>
      <c r="G28" s="92">
        <f t="shared" si="0"/>
        <v>0</v>
      </c>
      <c r="H28" s="91">
        <v>0</v>
      </c>
      <c r="I28" s="91">
        <v>0</v>
      </c>
      <c r="J28" s="91">
        <v>0</v>
      </c>
      <c r="K28" s="91">
        <v>0</v>
      </c>
      <c r="L28" s="91">
        <v>0</v>
      </c>
      <c r="M28" s="91">
        <v>0</v>
      </c>
      <c r="N28" s="92">
        <f t="shared" si="1"/>
        <v>0</v>
      </c>
      <c r="O28" s="113">
        <f t="shared" si="2"/>
        <v>0</v>
      </c>
      <c r="P28" s="17"/>
      <c r="Q28" s="18" t="e">
        <f>IF(N28&gt;0,#REF!+#REF!+N28-#REF!,#REF!+#REF!-#REF!)</f>
        <v>#REF!</v>
      </c>
    </row>
    <row r="29" spans="1:17" s="1" customFormat="1" ht="15" customHeight="1" x14ac:dyDescent="0.25">
      <c r="A29" s="19">
        <v>3151</v>
      </c>
      <c r="B29" s="20" t="s">
        <v>31</v>
      </c>
      <c r="C29" s="94">
        <v>104201</v>
      </c>
      <c r="D29" s="94"/>
      <c r="E29" s="101">
        <v>34730</v>
      </c>
      <c r="F29" s="101"/>
      <c r="G29" s="92">
        <f t="shared" si="0"/>
        <v>138931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101">
        <v>0</v>
      </c>
      <c r="N29" s="92">
        <f t="shared" si="1"/>
        <v>138931</v>
      </c>
      <c r="O29" s="112">
        <f t="shared" si="2"/>
        <v>0</v>
      </c>
      <c r="P29" s="17"/>
      <c r="Q29" s="21" t="e">
        <f>IF(N29&gt;0,#REF!+#REF!+N29-#REF!,#REF!+#REF!-#REF!)</f>
        <v>#REF!</v>
      </c>
    </row>
    <row r="30" spans="1:17" s="1" customFormat="1" ht="15" customHeight="1" x14ac:dyDescent="0.25">
      <c r="A30" s="19">
        <v>3152</v>
      </c>
      <c r="B30" s="20" t="s">
        <v>32</v>
      </c>
      <c r="C30" s="94">
        <v>0</v>
      </c>
      <c r="D30" s="94"/>
      <c r="E30" s="86">
        <v>379066</v>
      </c>
      <c r="F30" s="86">
        <v>-100000</v>
      </c>
      <c r="G30" s="108">
        <f t="shared" si="0"/>
        <v>279066</v>
      </c>
      <c r="H30" s="101">
        <v>0</v>
      </c>
      <c r="I30" s="101">
        <v>1222320</v>
      </c>
      <c r="J30" s="101">
        <v>0</v>
      </c>
      <c r="K30" s="86">
        <v>0</v>
      </c>
      <c r="L30" s="86">
        <v>0</v>
      </c>
      <c r="M30" s="86">
        <v>1223888.94</v>
      </c>
      <c r="N30" s="92">
        <f t="shared" si="1"/>
        <v>279066</v>
      </c>
      <c r="O30" s="114">
        <f t="shared" si="2"/>
        <v>0</v>
      </c>
      <c r="P30" s="17"/>
      <c r="Q30" s="21" t="e">
        <f>IF(N30&gt;0,#REF!+#REF!+N30-#REF!,#REF!+#REF!-#REF!)</f>
        <v>#REF!</v>
      </c>
    </row>
    <row r="31" spans="1:17" s="1" customFormat="1" ht="15" customHeight="1" x14ac:dyDescent="0.25">
      <c r="A31" s="19">
        <v>3153</v>
      </c>
      <c r="B31" s="20" t="s">
        <v>33</v>
      </c>
      <c r="C31" s="94">
        <v>17676</v>
      </c>
      <c r="D31" s="94"/>
      <c r="E31" s="101">
        <v>16905</v>
      </c>
      <c r="F31" s="101"/>
      <c r="G31" s="92">
        <f t="shared" si="0"/>
        <v>34581</v>
      </c>
      <c r="H31" s="101">
        <v>0</v>
      </c>
      <c r="I31" s="101">
        <v>135000</v>
      </c>
      <c r="J31" s="101">
        <v>0</v>
      </c>
      <c r="K31" s="101">
        <v>0</v>
      </c>
      <c r="L31" s="101">
        <v>0</v>
      </c>
      <c r="M31" s="101">
        <v>121772.95999999999</v>
      </c>
      <c r="N31" s="92">
        <f t="shared" si="1"/>
        <v>34581</v>
      </c>
      <c r="O31" s="112">
        <f t="shared" si="2"/>
        <v>0</v>
      </c>
      <c r="P31" s="23"/>
      <c r="Q31" s="21" t="e">
        <f>IF(N31&gt;0,#REF!+#REF!+N31-#REF!,#REF!+#REF!-#REF!)</f>
        <v>#REF!</v>
      </c>
    </row>
    <row r="32" spans="1:17" s="1" customFormat="1" ht="15" customHeight="1" x14ac:dyDescent="0.25">
      <c r="A32" s="19">
        <v>3154</v>
      </c>
      <c r="B32" s="20" t="s">
        <v>34</v>
      </c>
      <c r="C32" s="94">
        <v>0</v>
      </c>
      <c r="D32" s="94"/>
      <c r="E32" s="101">
        <v>-3</v>
      </c>
      <c r="F32" s="101"/>
      <c r="G32" s="92">
        <f t="shared" si="0"/>
        <v>-3</v>
      </c>
      <c r="H32" s="101">
        <v>0</v>
      </c>
      <c r="I32" s="101">
        <v>0</v>
      </c>
      <c r="J32" s="101">
        <v>0</v>
      </c>
      <c r="K32" s="101">
        <v>0</v>
      </c>
      <c r="L32" s="101">
        <v>0</v>
      </c>
      <c r="M32" s="101">
        <v>0</v>
      </c>
      <c r="N32" s="92">
        <f t="shared" si="1"/>
        <v>-3</v>
      </c>
      <c r="O32" s="112">
        <f t="shared" si="2"/>
        <v>0</v>
      </c>
      <c r="P32" s="23"/>
      <c r="Q32" s="21" t="e">
        <f>IF(N32&gt;0,#REF!+#REF!+N32-#REF!,#REF!+#REF!-#REF!)</f>
        <v>#REF!</v>
      </c>
    </row>
    <row r="33" spans="1:17" s="1" customFormat="1" ht="15" customHeight="1" x14ac:dyDescent="0.25">
      <c r="A33" s="19">
        <v>3137</v>
      </c>
      <c r="B33" s="24" t="s">
        <v>35</v>
      </c>
      <c r="C33" s="96">
        <v>140036</v>
      </c>
      <c r="D33" s="96"/>
      <c r="E33" s="91">
        <v>12748</v>
      </c>
      <c r="F33" s="91">
        <v>460000</v>
      </c>
      <c r="G33" s="92">
        <f t="shared" si="0"/>
        <v>612784</v>
      </c>
      <c r="H33" s="91">
        <v>0</v>
      </c>
      <c r="I33" s="91">
        <v>2595.13</v>
      </c>
      <c r="J33" s="91">
        <v>0</v>
      </c>
      <c r="K33" s="91">
        <v>2590.17</v>
      </c>
      <c r="L33" s="91">
        <v>0</v>
      </c>
      <c r="M33" s="91">
        <v>0</v>
      </c>
      <c r="N33" s="92">
        <f t="shared" si="1"/>
        <v>610193.82999999996</v>
      </c>
      <c r="O33" s="113">
        <f t="shared" si="2"/>
        <v>0</v>
      </c>
      <c r="P33" s="23"/>
      <c r="Q33" s="18" t="e">
        <f>IF(N33&gt;0,#REF!+#REF!+N33-#REF!,#REF!+#REF!-#REF!)</f>
        <v>#REF!</v>
      </c>
    </row>
    <row r="34" spans="1:17" s="1" customFormat="1" ht="15" customHeight="1" x14ac:dyDescent="0.25">
      <c r="A34" s="19">
        <v>3701</v>
      </c>
      <c r="B34" s="20" t="s">
        <v>36</v>
      </c>
      <c r="C34" s="94">
        <v>35905.170000000013</v>
      </c>
      <c r="D34" s="94"/>
      <c r="E34" s="87">
        <v>215042</v>
      </c>
      <c r="F34" s="87"/>
      <c r="G34" s="92">
        <f t="shared" si="0"/>
        <v>250947.17</v>
      </c>
      <c r="H34" s="87">
        <v>0</v>
      </c>
      <c r="I34" s="86">
        <v>408000</v>
      </c>
      <c r="J34" s="86">
        <v>3509</v>
      </c>
      <c r="K34" s="86">
        <v>169973</v>
      </c>
      <c r="L34" s="86">
        <v>0</v>
      </c>
      <c r="M34" s="86">
        <v>96569.35</v>
      </c>
      <c r="N34" s="92">
        <f t="shared" si="1"/>
        <v>80974.170000000013</v>
      </c>
      <c r="O34" s="114">
        <f t="shared" si="2"/>
        <v>0</v>
      </c>
      <c r="P34" s="23"/>
      <c r="Q34" s="25" t="e">
        <f>IF(N34&gt;0,#REF!+#REF!+N34-#REF!,#REF!+#REF!-#REF!)</f>
        <v>#REF!</v>
      </c>
    </row>
    <row r="35" spans="1:17" s="1" customFormat="1" ht="15" customHeight="1" x14ac:dyDescent="0.25">
      <c r="A35" s="19">
        <v>3702</v>
      </c>
      <c r="B35" s="20" t="s">
        <v>37</v>
      </c>
      <c r="C35" s="94">
        <v>1019184.9899999999</v>
      </c>
      <c r="D35" s="94"/>
      <c r="E35" s="86">
        <v>1223998</v>
      </c>
      <c r="F35" s="86">
        <f>-1061377.1-1061960</f>
        <v>-2123337.1</v>
      </c>
      <c r="G35" s="92">
        <f t="shared" si="0"/>
        <v>119845.88999999966</v>
      </c>
      <c r="H35" s="101">
        <v>3340984.7</v>
      </c>
      <c r="I35" s="101">
        <v>3690000</v>
      </c>
      <c r="J35" s="101">
        <v>3822459</v>
      </c>
      <c r="K35" s="86">
        <v>107117.23000000001</v>
      </c>
      <c r="L35" s="86">
        <v>3340984.6999999993</v>
      </c>
      <c r="M35" s="86">
        <v>732.11</v>
      </c>
      <c r="N35" s="92">
        <f t="shared" si="1"/>
        <v>12728.659999999654</v>
      </c>
      <c r="O35" s="114">
        <f t="shared" si="2"/>
        <v>0</v>
      </c>
      <c r="P35" s="23"/>
      <c r="Q35" s="21" t="e">
        <f>IF(N35&gt;0,#REF!+#REF!+N35-#REF!,#REF!+#REF!-#REF!)</f>
        <v>#REF!</v>
      </c>
    </row>
    <row r="36" spans="1:17" s="1" customFormat="1" ht="15" customHeight="1" x14ac:dyDescent="0.25">
      <c r="A36" s="19">
        <v>3703</v>
      </c>
      <c r="B36" s="20" t="s">
        <v>38</v>
      </c>
      <c r="C36" s="94">
        <v>-87852.500000000146</v>
      </c>
      <c r="D36" s="94"/>
      <c r="E36" s="86">
        <v>925099</v>
      </c>
      <c r="F36" s="86">
        <v>-311626.56</v>
      </c>
      <c r="G36" s="92">
        <f t="shared" si="0"/>
        <v>525619.93999999994</v>
      </c>
      <c r="H36" s="101">
        <v>923417.52</v>
      </c>
      <c r="I36" s="101">
        <v>1556000</v>
      </c>
      <c r="J36" s="101">
        <v>1011894</v>
      </c>
      <c r="K36" s="101">
        <v>485725.76999999996</v>
      </c>
      <c r="L36" s="101">
        <v>924950.10000000009</v>
      </c>
      <c r="M36" s="101">
        <v>68583.86000000003</v>
      </c>
      <c r="N36" s="92">
        <f t="shared" si="1"/>
        <v>39894.169999999984</v>
      </c>
      <c r="O36" s="112">
        <f t="shared" si="2"/>
        <v>-1532.5800000000745</v>
      </c>
      <c r="P36" s="23"/>
      <c r="Q36" s="21" t="e">
        <f>IF(N36&gt;0,#REF!+#REF!+N36-#REF!,#REF!+#REF!-#REF!)</f>
        <v>#REF!</v>
      </c>
    </row>
    <row r="37" spans="1:17" s="1" customFormat="1" ht="15" customHeight="1" x14ac:dyDescent="0.25">
      <c r="A37" s="19">
        <v>3704</v>
      </c>
      <c r="B37" s="20" t="s">
        <v>39</v>
      </c>
      <c r="C37" s="94">
        <v>906764.1</v>
      </c>
      <c r="D37" s="94"/>
      <c r="E37" s="101">
        <v>531823</v>
      </c>
      <c r="F37" s="101"/>
      <c r="G37" s="92">
        <f t="shared" si="0"/>
        <v>1438587.1</v>
      </c>
      <c r="H37" s="101">
        <v>0</v>
      </c>
      <c r="I37" s="101">
        <v>1695000</v>
      </c>
      <c r="J37" s="101">
        <v>0</v>
      </c>
      <c r="K37" s="101">
        <v>853545.07000000007</v>
      </c>
      <c r="L37" s="101">
        <v>0</v>
      </c>
      <c r="M37" s="101">
        <v>157097.19</v>
      </c>
      <c r="N37" s="92">
        <f t="shared" si="1"/>
        <v>585042.03</v>
      </c>
      <c r="O37" s="112">
        <f t="shared" si="2"/>
        <v>0</v>
      </c>
      <c r="P37" s="23"/>
      <c r="Q37" s="21" t="e">
        <f>IF(N37&gt;0,#REF!+#REF!+N37-#REF!,#REF!+#REF!-#REF!)</f>
        <v>#REF!</v>
      </c>
    </row>
    <row r="38" spans="1:17" s="1" customFormat="1" ht="15" customHeight="1" x14ac:dyDescent="0.25">
      <c r="A38" s="19">
        <v>3705</v>
      </c>
      <c r="B38" s="20" t="s">
        <v>40</v>
      </c>
      <c r="C38" s="94">
        <v>455526.21000000066</v>
      </c>
      <c r="D38" s="94"/>
      <c r="E38" s="86">
        <v>1474798</v>
      </c>
      <c r="F38" s="86">
        <v>-801831.26</v>
      </c>
      <c r="G38" s="92">
        <f t="shared" si="0"/>
        <v>1128492.9500000007</v>
      </c>
      <c r="H38" s="101">
        <v>801831.26</v>
      </c>
      <c r="I38" s="101">
        <v>907500</v>
      </c>
      <c r="J38" s="101">
        <v>907500</v>
      </c>
      <c r="K38" s="101">
        <v>0</v>
      </c>
      <c r="L38" s="101">
        <v>800298.68</v>
      </c>
      <c r="M38" s="101">
        <v>0</v>
      </c>
      <c r="N38" s="92">
        <f t="shared" si="1"/>
        <v>1128492.9500000007</v>
      </c>
      <c r="O38" s="112">
        <f t="shared" si="2"/>
        <v>1532.5799999999581</v>
      </c>
      <c r="P38" s="23"/>
      <c r="Q38" s="21" t="e">
        <f>IF(N38&gt;0,#REF!+#REF!+N38-#REF!,#REF!+#REF!-#REF!)</f>
        <v>#REF!</v>
      </c>
    </row>
    <row r="39" spans="1:17" s="1" customFormat="1" ht="15.75" x14ac:dyDescent="0.25">
      <c r="A39" s="19">
        <v>3706</v>
      </c>
      <c r="B39" s="20" t="s">
        <v>41</v>
      </c>
      <c r="C39" s="94">
        <v>68753.990000000005</v>
      </c>
      <c r="D39" s="94"/>
      <c r="E39" s="101">
        <v>59009</v>
      </c>
      <c r="F39" s="101"/>
      <c r="G39" s="92">
        <f t="shared" si="0"/>
        <v>127762.99</v>
      </c>
      <c r="H39" s="101">
        <v>0</v>
      </c>
      <c r="I39" s="101">
        <v>10000</v>
      </c>
      <c r="J39" s="101">
        <v>0</v>
      </c>
      <c r="K39" s="101">
        <v>21657.86</v>
      </c>
      <c r="L39" s="101">
        <v>0</v>
      </c>
      <c r="M39" s="101">
        <v>8676</v>
      </c>
      <c r="N39" s="92">
        <f t="shared" si="1"/>
        <v>106105.13</v>
      </c>
      <c r="O39" s="112">
        <f t="shared" si="2"/>
        <v>0</v>
      </c>
      <c r="P39" s="23"/>
      <c r="Q39" s="21" t="e">
        <f>IF(N39&gt;0,#REF!+#REF!+N39-#REF!,#REF!+#REF!-#REF!)</f>
        <v>#REF!</v>
      </c>
    </row>
    <row r="40" spans="1:17" s="1" customFormat="1" ht="15.75" hidden="1" x14ac:dyDescent="0.25">
      <c r="A40" s="19">
        <v>3707</v>
      </c>
      <c r="B40" s="26" t="s">
        <v>42</v>
      </c>
      <c r="C40" s="97">
        <v>0</v>
      </c>
      <c r="D40" s="97"/>
      <c r="E40" s="101">
        <v>0</v>
      </c>
      <c r="F40" s="101"/>
      <c r="G40" s="92">
        <f t="shared" si="0"/>
        <v>0</v>
      </c>
      <c r="H40" s="101">
        <v>0</v>
      </c>
      <c r="I40" s="101">
        <v>0</v>
      </c>
      <c r="J40" s="101">
        <v>0</v>
      </c>
      <c r="K40" s="101">
        <v>0</v>
      </c>
      <c r="L40" s="101">
        <v>0</v>
      </c>
      <c r="M40" s="101">
        <v>0</v>
      </c>
      <c r="N40" s="92">
        <f t="shared" si="1"/>
        <v>0</v>
      </c>
      <c r="O40" s="112">
        <f t="shared" si="2"/>
        <v>0</v>
      </c>
      <c r="P40" s="23"/>
      <c r="Q40" s="21" t="e">
        <f>IF(N40&gt;0,#REF!+#REF!+N40-#REF!,#REF!+#REF!-#REF!)</f>
        <v>#REF!</v>
      </c>
    </row>
    <row r="41" spans="1:17" s="1" customFormat="1" ht="15" hidden="1" customHeight="1" x14ac:dyDescent="0.25">
      <c r="A41" s="19">
        <v>3708</v>
      </c>
      <c r="B41" s="26" t="s">
        <v>42</v>
      </c>
      <c r="C41" s="97">
        <v>0</v>
      </c>
      <c r="D41" s="97"/>
      <c r="E41" s="101">
        <v>0</v>
      </c>
      <c r="F41" s="101"/>
      <c r="G41" s="92">
        <f t="shared" si="0"/>
        <v>0</v>
      </c>
      <c r="H41" s="101">
        <v>0</v>
      </c>
      <c r="I41" s="101">
        <v>0</v>
      </c>
      <c r="J41" s="101">
        <v>0</v>
      </c>
      <c r="K41" s="101">
        <v>0</v>
      </c>
      <c r="L41" s="101">
        <v>0</v>
      </c>
      <c r="M41" s="101">
        <v>0</v>
      </c>
      <c r="N41" s="92">
        <f t="shared" si="1"/>
        <v>0</v>
      </c>
      <c r="O41" s="112">
        <f t="shared" si="2"/>
        <v>0</v>
      </c>
      <c r="P41" s="23"/>
      <c r="Q41" s="18" t="e">
        <f>IF(N42&gt;0,#REF!+#REF!+N42-#REF!,#REF!+#REF!-#REF!)</f>
        <v>#REF!</v>
      </c>
    </row>
    <row r="42" spans="1:17" s="1" customFormat="1" ht="15" customHeight="1" x14ac:dyDescent="0.25">
      <c r="A42" s="19">
        <v>3720</v>
      </c>
      <c r="B42" s="24" t="s">
        <v>43</v>
      </c>
      <c r="C42" s="96">
        <v>-1973151.1300000001</v>
      </c>
      <c r="D42" s="96">
        <v>1973151.13</v>
      </c>
      <c r="E42" s="91">
        <v>-3</v>
      </c>
      <c r="F42" s="91"/>
      <c r="G42" s="92">
        <f t="shared" si="0"/>
        <v>-3.0000000002328306</v>
      </c>
      <c r="H42" s="91">
        <v>0</v>
      </c>
      <c r="I42" s="91">
        <v>0</v>
      </c>
      <c r="J42" s="91">
        <v>238733</v>
      </c>
      <c r="K42" s="91">
        <v>0</v>
      </c>
      <c r="L42" s="91">
        <v>0</v>
      </c>
      <c r="M42" s="91">
        <v>487.76</v>
      </c>
      <c r="N42" s="92">
        <f t="shared" si="1"/>
        <v>-3.0000000002328306</v>
      </c>
      <c r="O42" s="113">
        <f t="shared" si="2"/>
        <v>0</v>
      </c>
      <c r="P42" s="23"/>
      <c r="Q42" s="21" t="e">
        <f>IF(N43&gt;0,#REF!+#REF!+N43-#REF!,#REF!+#REF!-#REF!)</f>
        <v>#REF!</v>
      </c>
    </row>
    <row r="43" spans="1:17" s="1" customFormat="1" ht="15" customHeight="1" x14ac:dyDescent="0.25">
      <c r="A43" s="19">
        <v>3721</v>
      </c>
      <c r="B43" s="20" t="s">
        <v>44</v>
      </c>
      <c r="C43" s="94">
        <v>1120981.47</v>
      </c>
      <c r="D43" s="94"/>
      <c r="E43" s="86">
        <v>316441</v>
      </c>
      <c r="F43" s="86">
        <f>1061960+801831.26+1061377.1</f>
        <v>2925168.3600000003</v>
      </c>
      <c r="G43" s="92">
        <f t="shared" si="0"/>
        <v>4362590.83</v>
      </c>
      <c r="H43" s="101">
        <v>0</v>
      </c>
      <c r="I43" s="101">
        <v>7133000</v>
      </c>
      <c r="J43" s="101">
        <v>3822000</v>
      </c>
      <c r="K43" s="101">
        <v>0</v>
      </c>
      <c r="L43" s="101">
        <v>0</v>
      </c>
      <c r="M43" s="101">
        <v>487.76</v>
      </c>
      <c r="N43" s="92">
        <f t="shared" si="1"/>
        <v>4362590.83</v>
      </c>
      <c r="O43" s="112">
        <f t="shared" si="2"/>
        <v>0</v>
      </c>
      <c r="P43" s="23"/>
      <c r="Q43" s="21" t="e">
        <f>IF(N44&gt;0,#REF!+#REF!+N44-#REF!,#REF!+#REF!-#REF!)</f>
        <v>#REF!</v>
      </c>
    </row>
    <row r="44" spans="1:17" s="1" customFormat="1" ht="15" customHeight="1" x14ac:dyDescent="0.25">
      <c r="A44" s="19">
        <v>3722</v>
      </c>
      <c r="B44" s="20" t="s">
        <v>45</v>
      </c>
      <c r="C44" s="94">
        <v>-7145.8299999998417</v>
      </c>
      <c r="D44" s="94"/>
      <c r="E44" s="101">
        <v>1572947.56</v>
      </c>
      <c r="F44" s="101"/>
      <c r="G44" s="92">
        <f t="shared" si="0"/>
        <v>1565801.7300000002</v>
      </c>
      <c r="H44" s="101">
        <v>8996865.2100000009</v>
      </c>
      <c r="I44" s="101">
        <v>16452955.5</v>
      </c>
      <c r="J44" s="101">
        <v>10113394</v>
      </c>
      <c r="K44" s="101">
        <v>0</v>
      </c>
      <c r="L44" s="101">
        <v>8996865.2100000009</v>
      </c>
      <c r="M44" s="101">
        <v>26546.76</v>
      </c>
      <c r="N44" s="92">
        <f t="shared" si="1"/>
        <v>1565801.7300000002</v>
      </c>
      <c r="O44" s="112">
        <f t="shared" si="2"/>
        <v>0</v>
      </c>
      <c r="P44" s="23"/>
      <c r="Q44" s="21" t="e">
        <f>IF(N45&gt;0,#REF!+#REF!+N45-#REF!,#REF!+#REF!-#REF!)</f>
        <v>#REF!</v>
      </c>
    </row>
    <row r="45" spans="1:17" s="1" customFormat="1" ht="15" customHeight="1" x14ac:dyDescent="0.25">
      <c r="A45" s="19">
        <v>3723</v>
      </c>
      <c r="B45" s="20" t="s">
        <v>46</v>
      </c>
      <c r="C45" s="94">
        <v>-130002.00000000012</v>
      </c>
      <c r="D45" s="94"/>
      <c r="E45" s="86">
        <v>752477</v>
      </c>
      <c r="F45" s="86">
        <v>-460000</v>
      </c>
      <c r="G45" s="92">
        <f t="shared" si="0"/>
        <v>162474.99999999988</v>
      </c>
      <c r="H45" s="101">
        <v>0</v>
      </c>
      <c r="I45" s="101">
        <v>168000</v>
      </c>
      <c r="J45" s="101">
        <v>185339.63</v>
      </c>
      <c r="K45" s="86">
        <v>0</v>
      </c>
      <c r="L45" s="86">
        <v>0</v>
      </c>
      <c r="M45" s="86">
        <v>209383</v>
      </c>
      <c r="N45" s="92">
        <f t="shared" si="1"/>
        <v>162474.99999999988</v>
      </c>
      <c r="O45" s="114">
        <f t="shared" si="2"/>
        <v>0</v>
      </c>
      <c r="P45" s="23"/>
      <c r="Q45" s="21" t="e">
        <f>IF(N46&gt;0,#REF!+#REF!+N46-#REF!,#REF!+#REF!-#REF!)</f>
        <v>#REF!</v>
      </c>
    </row>
    <row r="46" spans="1:17" s="1" customFormat="1" ht="15" customHeight="1" x14ac:dyDescent="0.25">
      <c r="A46" s="19">
        <v>3724</v>
      </c>
      <c r="B46" s="20" t="s">
        <v>47</v>
      </c>
      <c r="C46" s="94">
        <v>6129.0200000000186</v>
      </c>
      <c r="D46" s="94"/>
      <c r="E46" s="101">
        <v>555761</v>
      </c>
      <c r="F46" s="101"/>
      <c r="G46" s="92">
        <f t="shared" si="0"/>
        <v>561890.02</v>
      </c>
      <c r="H46" s="101">
        <v>2949467.21</v>
      </c>
      <c r="I46" s="101">
        <v>7969000</v>
      </c>
      <c r="J46" s="101">
        <v>1543630.51</v>
      </c>
      <c r="K46" s="101">
        <v>552120.02</v>
      </c>
      <c r="L46" s="101">
        <v>2949467.21</v>
      </c>
      <c r="M46" s="101">
        <v>1151026.3899999999</v>
      </c>
      <c r="N46" s="92">
        <f t="shared" si="1"/>
        <v>9770</v>
      </c>
      <c r="O46" s="112">
        <f t="shared" si="2"/>
        <v>0</v>
      </c>
      <c r="P46" s="23"/>
      <c r="Q46" s="21" t="e">
        <f>IF(N47&gt;0,#REF!+#REF!+N47-#REF!,#REF!+#REF!-#REF!)</f>
        <v>#REF!</v>
      </c>
    </row>
    <row r="47" spans="1:17" s="1" customFormat="1" ht="15" customHeight="1" x14ac:dyDescent="0.25">
      <c r="A47" s="19">
        <v>3725</v>
      </c>
      <c r="B47" s="20" t="s">
        <v>48</v>
      </c>
      <c r="C47" s="94">
        <v>-257924</v>
      </c>
      <c r="D47" s="94"/>
      <c r="E47" s="101">
        <v>219870</v>
      </c>
      <c r="F47" s="101"/>
      <c r="G47" s="92">
        <f t="shared" si="0"/>
        <v>-38054</v>
      </c>
      <c r="H47" s="101">
        <v>64345.370000000097</v>
      </c>
      <c r="I47" s="101">
        <v>7160000</v>
      </c>
      <c r="J47" s="101">
        <v>4375393.5</v>
      </c>
      <c r="K47" s="101">
        <v>-141300.46000000002</v>
      </c>
      <c r="L47" s="101">
        <v>64345.37</v>
      </c>
      <c r="M47" s="101">
        <v>120.89000000000001</v>
      </c>
      <c r="N47" s="92">
        <f t="shared" si="1"/>
        <v>103246.46000000002</v>
      </c>
      <c r="O47" s="112">
        <f t="shared" si="2"/>
        <v>9.4587448984384537E-11</v>
      </c>
      <c r="P47" s="23"/>
      <c r="Q47" s="21" t="e">
        <f>IF(N48&gt;0,#REF!+#REF!+N48-#REF!,#REF!+#REF!-#REF!)</f>
        <v>#REF!</v>
      </c>
    </row>
    <row r="48" spans="1:17" s="1" customFormat="1" ht="15" customHeight="1" x14ac:dyDescent="0.25">
      <c r="A48" s="19">
        <v>3726</v>
      </c>
      <c r="B48" s="20" t="s">
        <v>49</v>
      </c>
      <c r="C48" s="94">
        <v>226388.99999999997</v>
      </c>
      <c r="D48" s="94"/>
      <c r="E48" s="101">
        <v>585327</v>
      </c>
      <c r="F48" s="101"/>
      <c r="G48" s="92">
        <f t="shared" si="0"/>
        <v>811716</v>
      </c>
      <c r="H48" s="101">
        <v>0</v>
      </c>
      <c r="I48" s="101">
        <v>1110000</v>
      </c>
      <c r="J48" s="101">
        <v>106480</v>
      </c>
      <c r="K48" s="86">
        <v>97155.950000000012</v>
      </c>
      <c r="L48" s="86">
        <v>0</v>
      </c>
      <c r="M48" s="86">
        <v>0</v>
      </c>
      <c r="N48" s="92">
        <f t="shared" si="1"/>
        <v>714560.05</v>
      </c>
      <c r="O48" s="114">
        <f t="shared" si="2"/>
        <v>0</v>
      </c>
      <c r="P48" s="23"/>
      <c r="Q48" s="21" t="e">
        <f>IF(N49&gt;0,#REF!+#REF!+N49-#REF!,#REF!+#REF!-#REF!)</f>
        <v>#REF!</v>
      </c>
    </row>
    <row r="49" spans="1:17" s="1" customFormat="1" ht="15" customHeight="1" x14ac:dyDescent="0.25">
      <c r="A49" s="19">
        <v>3727</v>
      </c>
      <c r="B49" s="20" t="s">
        <v>50</v>
      </c>
      <c r="C49" s="94">
        <v>744942</v>
      </c>
      <c r="D49" s="94"/>
      <c r="E49" s="86">
        <v>60337</v>
      </c>
      <c r="F49" s="86">
        <f>711463.31+311626.56</f>
        <v>1023089.8700000001</v>
      </c>
      <c r="G49" s="92">
        <f t="shared" si="0"/>
        <v>1828368.87</v>
      </c>
      <c r="H49" s="101">
        <v>353189.89</v>
      </c>
      <c r="I49" s="86">
        <v>9372000</v>
      </c>
      <c r="J49" s="101">
        <v>3822000</v>
      </c>
      <c r="K49" s="101">
        <v>0</v>
      </c>
      <c r="L49" s="101">
        <v>353189.89</v>
      </c>
      <c r="M49" s="101">
        <v>84999.700000000012</v>
      </c>
      <c r="N49" s="92">
        <f t="shared" si="1"/>
        <v>1828368.87</v>
      </c>
      <c r="O49" s="112">
        <f t="shared" si="2"/>
        <v>0</v>
      </c>
      <c r="P49" s="23"/>
      <c r="Q49" s="21" t="e">
        <f>IF(N50&gt;0,#REF!+#REF!+N50-#REF!,#REF!+#REF!-#REF!)</f>
        <v>#REF!</v>
      </c>
    </row>
    <row r="50" spans="1:17" s="1" customFormat="1" ht="15.75" x14ac:dyDescent="0.25">
      <c r="A50" s="19">
        <v>3728</v>
      </c>
      <c r="B50" s="20" t="s">
        <v>51</v>
      </c>
      <c r="C50" s="94">
        <v>2</v>
      </c>
      <c r="D50" s="94"/>
      <c r="E50" s="101">
        <v>-1410</v>
      </c>
      <c r="F50" s="101"/>
      <c r="G50" s="92">
        <f t="shared" si="0"/>
        <v>-1408</v>
      </c>
      <c r="H50" s="101">
        <v>577968.84</v>
      </c>
      <c r="I50" s="86">
        <v>509000</v>
      </c>
      <c r="J50" s="101">
        <v>120395</v>
      </c>
      <c r="K50" s="101">
        <v>0</v>
      </c>
      <c r="L50" s="101">
        <v>577968.84</v>
      </c>
      <c r="M50" s="101">
        <v>13194.510000000002</v>
      </c>
      <c r="N50" s="92">
        <f t="shared" si="1"/>
        <v>-1408</v>
      </c>
      <c r="O50" s="112">
        <f t="shared" si="2"/>
        <v>0</v>
      </c>
      <c r="P50" s="60">
        <f>SUM(N7:N50)</f>
        <v>18790904.810000006</v>
      </c>
      <c r="Q50" s="21"/>
    </row>
    <row r="51" spans="1:17" s="1" customFormat="1" ht="39.6" customHeight="1" x14ac:dyDescent="0.25">
      <c r="A51" s="27">
        <v>3740</v>
      </c>
      <c r="B51" s="28" t="s">
        <v>53</v>
      </c>
      <c r="C51" s="98">
        <v>0</v>
      </c>
      <c r="D51" s="98"/>
      <c r="E51" s="43">
        <v>68545</v>
      </c>
      <c r="F51" s="43"/>
      <c r="G51" s="92">
        <f t="shared" si="0"/>
        <v>68545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53">
        <v>0</v>
      </c>
      <c r="N51" s="92">
        <f t="shared" si="1"/>
        <v>68545</v>
      </c>
      <c r="O51" s="115">
        <f t="shared" si="2"/>
        <v>0</v>
      </c>
      <c r="P51" s="23"/>
      <c r="Q51" s="21" t="e">
        <f>IF(N52&gt;0,#REF!+#REF!+N52-#REF!,#REF!+#REF!-#REF!)</f>
        <v>#REF!</v>
      </c>
    </row>
    <row r="52" spans="1:17" s="1" customFormat="1" ht="30" customHeight="1" x14ac:dyDescent="0.25">
      <c r="A52" s="29">
        <v>3741</v>
      </c>
      <c r="B52" s="28" t="s">
        <v>54</v>
      </c>
      <c r="C52" s="98">
        <v>0</v>
      </c>
      <c r="D52" s="98"/>
      <c r="E52" s="43">
        <v>0</v>
      </c>
      <c r="F52" s="43"/>
      <c r="G52" s="92">
        <f t="shared" si="0"/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92">
        <f t="shared" si="1"/>
        <v>0</v>
      </c>
      <c r="O52" s="116">
        <f t="shared" si="2"/>
        <v>0</v>
      </c>
      <c r="P52" s="23"/>
      <c r="Q52" s="21" t="e">
        <f>IF(N53&gt;0,#REF!+#REF!+N53-#REF!,#REF!+#REF!-#REF!)</f>
        <v>#REF!</v>
      </c>
    </row>
    <row r="53" spans="1:17" s="1" customFormat="1" ht="14.45" customHeight="1" x14ac:dyDescent="0.25">
      <c r="A53" s="30" t="s">
        <v>55</v>
      </c>
      <c r="B53" s="20" t="s">
        <v>56</v>
      </c>
      <c r="C53" s="94">
        <v>1147237.05</v>
      </c>
      <c r="D53" s="94"/>
      <c r="E53" s="101">
        <v>559474</v>
      </c>
      <c r="F53" s="101"/>
      <c r="G53" s="92">
        <f t="shared" si="0"/>
        <v>1706711.05</v>
      </c>
      <c r="H53" s="101">
        <v>0</v>
      </c>
      <c r="I53" s="86">
        <v>1852690</v>
      </c>
      <c r="J53" s="101">
        <v>55055</v>
      </c>
      <c r="K53" s="102">
        <v>1271423.6000000001</v>
      </c>
      <c r="L53" s="101">
        <v>0</v>
      </c>
      <c r="M53" s="103">
        <v>293163.08999999997</v>
      </c>
      <c r="N53" s="92">
        <f t="shared" si="1"/>
        <v>435287.44999999995</v>
      </c>
      <c r="O53" s="117">
        <f t="shared" si="2"/>
        <v>0</v>
      </c>
      <c r="P53" s="17"/>
      <c r="Q53" s="21" t="e">
        <f>IF(N54&gt;0,#REF!+#REF!+N54-#REF!,#REF!+#REF!-#REF!)</f>
        <v>#REF!</v>
      </c>
    </row>
    <row r="54" spans="1:17" s="1" customFormat="1" ht="15" customHeight="1" x14ac:dyDescent="0.25">
      <c r="A54" s="30" t="s">
        <v>57</v>
      </c>
      <c r="B54" s="20" t="s">
        <v>58</v>
      </c>
      <c r="C54" s="94">
        <v>-1971739.0700000012</v>
      </c>
      <c r="D54" s="94"/>
      <c r="E54" s="101">
        <v>0</v>
      </c>
      <c r="F54" s="101"/>
      <c r="G54" s="92">
        <f t="shared" si="0"/>
        <v>-1971739.0700000012</v>
      </c>
      <c r="H54" s="101">
        <v>0</v>
      </c>
      <c r="I54" s="86">
        <v>38828000</v>
      </c>
      <c r="J54" s="101">
        <v>0</v>
      </c>
      <c r="K54" s="104">
        <v>110053.19</v>
      </c>
      <c r="L54" s="101">
        <v>0</v>
      </c>
      <c r="M54" s="105">
        <v>28696922.010000005</v>
      </c>
      <c r="N54" s="92">
        <f t="shared" si="1"/>
        <v>-2081792.2600000012</v>
      </c>
      <c r="O54" s="112">
        <f t="shared" si="2"/>
        <v>0</v>
      </c>
      <c r="P54" s="17"/>
      <c r="Q54" s="21" t="e">
        <f>IF(N55&gt;0,#REF!+#REF!+N55-#REF!,#REF!+#REF!-#REF!)</f>
        <v>#REF!</v>
      </c>
    </row>
    <row r="55" spans="1:17" s="1" customFormat="1" ht="15" customHeight="1" x14ac:dyDescent="0.25">
      <c r="A55" s="30" t="s">
        <v>59</v>
      </c>
      <c r="B55" s="20" t="s">
        <v>60</v>
      </c>
      <c r="C55" s="94">
        <v>0</v>
      </c>
      <c r="D55" s="94"/>
      <c r="E55" s="101">
        <v>0</v>
      </c>
      <c r="F55" s="101"/>
      <c r="G55" s="92">
        <f t="shared" si="0"/>
        <v>0</v>
      </c>
      <c r="H55" s="101">
        <v>0</v>
      </c>
      <c r="I55" s="101">
        <v>0</v>
      </c>
      <c r="J55" s="101">
        <v>0</v>
      </c>
      <c r="K55" s="101">
        <v>0</v>
      </c>
      <c r="L55" s="101">
        <v>0</v>
      </c>
      <c r="M55" s="101">
        <v>0</v>
      </c>
      <c r="N55" s="92">
        <f t="shared" si="1"/>
        <v>0</v>
      </c>
      <c r="O55" s="112">
        <f t="shared" si="2"/>
        <v>0</v>
      </c>
      <c r="P55" s="23"/>
      <c r="Q55" s="21" t="e">
        <f>IF(N56&gt;0,#REF!+#REF!+N56-#REF!,#REF!+#REF!-#REF!)</f>
        <v>#REF!</v>
      </c>
    </row>
    <row r="56" spans="1:17" s="1" customFormat="1" ht="15" customHeight="1" x14ac:dyDescent="0.25">
      <c r="A56" s="30" t="s">
        <v>61</v>
      </c>
      <c r="B56" s="20" t="s">
        <v>62</v>
      </c>
      <c r="C56" s="94">
        <v>0</v>
      </c>
      <c r="D56" s="94"/>
      <c r="E56" s="101">
        <v>0</v>
      </c>
      <c r="F56" s="101"/>
      <c r="G56" s="92">
        <f t="shared" si="0"/>
        <v>0</v>
      </c>
      <c r="H56" s="101">
        <v>0</v>
      </c>
      <c r="I56" s="101">
        <v>0</v>
      </c>
      <c r="J56" s="101">
        <v>0</v>
      </c>
      <c r="K56" s="101">
        <v>0</v>
      </c>
      <c r="L56" s="101">
        <v>0</v>
      </c>
      <c r="M56" s="101">
        <v>0</v>
      </c>
      <c r="N56" s="92">
        <f t="shared" si="1"/>
        <v>0</v>
      </c>
      <c r="O56" s="112">
        <f t="shared" si="2"/>
        <v>0</v>
      </c>
      <c r="P56" s="23"/>
      <c r="Q56" s="21" t="e">
        <f>IF(N57&gt;0,#REF!+#REF!+N57-#REF!,#REF!+#REF!-#REF!)</f>
        <v>#REF!</v>
      </c>
    </row>
    <row r="57" spans="1:17" s="1" customFormat="1" ht="15" customHeight="1" thickBot="1" x14ac:dyDescent="0.3">
      <c r="A57" s="31" t="s">
        <v>63</v>
      </c>
      <c r="B57" s="32" t="s">
        <v>64</v>
      </c>
      <c r="C57" s="99">
        <v>0</v>
      </c>
      <c r="D57" s="99"/>
      <c r="E57" s="106">
        <v>0</v>
      </c>
      <c r="F57" s="106"/>
      <c r="G57" s="92">
        <f t="shared" si="0"/>
        <v>0</v>
      </c>
      <c r="H57" s="106">
        <v>0</v>
      </c>
      <c r="I57" s="106">
        <v>0</v>
      </c>
      <c r="J57" s="106">
        <v>0</v>
      </c>
      <c r="K57" s="106">
        <v>0</v>
      </c>
      <c r="L57" s="106">
        <v>0</v>
      </c>
      <c r="M57" s="106">
        <v>0</v>
      </c>
      <c r="N57" s="92">
        <f t="shared" si="1"/>
        <v>0</v>
      </c>
      <c r="O57" s="118">
        <f t="shared" si="2"/>
        <v>0</v>
      </c>
      <c r="P57" s="23"/>
      <c r="Q57" s="18" t="e">
        <f>SUM(Q7:Q56)</f>
        <v>#REF!</v>
      </c>
    </row>
    <row r="58" spans="1:17" s="1" customFormat="1" ht="16.5" thickBot="1" x14ac:dyDescent="0.3">
      <c r="A58" s="33" t="s">
        <v>65</v>
      </c>
      <c r="B58" s="34"/>
      <c r="C58" s="100">
        <f>SUM(C7:C57)</f>
        <v>7928902.0600000015</v>
      </c>
      <c r="D58" s="100">
        <f>SUM(D7:D57)</f>
        <v>1973151.13</v>
      </c>
      <c r="E58" s="107">
        <f>SUM(E7:E57)</f>
        <v>18969556.16</v>
      </c>
      <c r="F58" s="107">
        <f>SUM(F7:F57)</f>
        <v>0</v>
      </c>
      <c r="G58" s="107">
        <f>SUM(G7:G57)</f>
        <v>28871609.350000001</v>
      </c>
      <c r="H58" s="107">
        <f t="shared" ref="H58:O58" si="3">SUM(H7:H57)</f>
        <v>20000000.000000004</v>
      </c>
      <c r="I58" s="107">
        <f t="shared" si="3"/>
        <v>121982493.63</v>
      </c>
      <c r="J58" s="107">
        <f t="shared" si="3"/>
        <v>38875354.840000004</v>
      </c>
      <c r="K58" s="107">
        <f t="shared" si="3"/>
        <v>11658664.349999996</v>
      </c>
      <c r="L58" s="107">
        <f t="shared" si="3"/>
        <v>20000000</v>
      </c>
      <c r="M58" s="107">
        <f t="shared" si="3"/>
        <v>48437421.070000015</v>
      </c>
      <c r="N58" s="107">
        <f>SUM(N7:N57)</f>
        <v>17212945.000000004</v>
      </c>
      <c r="O58" s="119">
        <f t="shared" si="3"/>
        <v>-2.1827872842550278E-11</v>
      </c>
      <c r="P58" s="23"/>
    </row>
    <row r="59" spans="1:17" ht="17.25" x14ac:dyDescent="0.3">
      <c r="A59" s="35"/>
      <c r="B59" s="35"/>
      <c r="C59" s="35"/>
      <c r="D59" s="35"/>
      <c r="E59" s="36"/>
      <c r="F59" s="36"/>
      <c r="G59" s="36"/>
      <c r="H59" s="37"/>
      <c r="I59" s="37"/>
      <c r="J59" s="37"/>
      <c r="K59" s="38"/>
      <c r="L59" s="37"/>
      <c r="M59" s="39"/>
      <c r="N59" s="38"/>
      <c r="O59" s="38"/>
    </row>
    <row r="60" spans="1:17" ht="15.75" customHeight="1" x14ac:dyDescent="0.25">
      <c r="E60" s="2"/>
      <c r="F60" s="2"/>
      <c r="G60" s="2"/>
      <c r="I60" s="40"/>
      <c r="K60" s="66" t="s">
        <v>101</v>
      </c>
      <c r="L60" s="69">
        <v>927029.4</v>
      </c>
      <c r="M60" s="70" t="s">
        <v>96</v>
      </c>
    </row>
    <row r="61" spans="1:17" x14ac:dyDescent="0.25">
      <c r="E61" s="109"/>
      <c r="F61" s="109"/>
      <c r="G61" s="109"/>
      <c r="K61" s="70" t="s">
        <v>100</v>
      </c>
      <c r="L61" s="67">
        <v>131890</v>
      </c>
      <c r="M61" s="70" t="s">
        <v>97</v>
      </c>
    </row>
    <row r="62" spans="1:17" x14ac:dyDescent="0.25">
      <c r="B62" s="64" t="s">
        <v>85</v>
      </c>
      <c r="C62" s="65">
        <f>E58</f>
        <v>18969556.16</v>
      </c>
      <c r="L62" s="67">
        <v>56014.23</v>
      </c>
      <c r="M62" s="68" t="s">
        <v>98</v>
      </c>
    </row>
    <row r="63" spans="1:17" x14ac:dyDescent="0.25">
      <c r="B63" s="63" t="s">
        <v>88</v>
      </c>
      <c r="C63" s="55">
        <f>M58</f>
        <v>48437421.070000015</v>
      </c>
      <c r="L63" s="67">
        <v>48711.44</v>
      </c>
      <c r="M63" s="68" t="s">
        <v>98</v>
      </c>
    </row>
    <row r="64" spans="1:17" x14ac:dyDescent="0.25">
      <c r="B64" s="63" t="s">
        <v>87</v>
      </c>
      <c r="C64" s="55">
        <f>K58</f>
        <v>11658664.349999996</v>
      </c>
      <c r="L64" s="67">
        <v>55542.16</v>
      </c>
      <c r="M64" s="68" t="s">
        <v>98</v>
      </c>
    </row>
    <row r="65" spans="2:14" x14ac:dyDescent="0.25">
      <c r="B65" s="63" t="s">
        <v>89</v>
      </c>
      <c r="C65" s="55">
        <f>M58</f>
        <v>48437421.070000015</v>
      </c>
      <c r="L65" s="67">
        <v>52236.37</v>
      </c>
      <c r="M65" s="68" t="s">
        <v>98</v>
      </c>
    </row>
    <row r="66" spans="2:14" x14ac:dyDescent="0.25">
      <c r="B66" s="64" t="s">
        <v>86</v>
      </c>
      <c r="C66" s="65">
        <f>C62+C63-C64-C65</f>
        <v>7310891.8100000098</v>
      </c>
      <c r="L66" s="78">
        <f>SUM(L60:L65)</f>
        <v>1271423.5999999999</v>
      </c>
    </row>
    <row r="67" spans="2:14" x14ac:dyDescent="0.25">
      <c r="K67" s="71" t="s">
        <v>99</v>
      </c>
      <c r="L67" s="72">
        <v>10285</v>
      </c>
      <c r="M67" s="73" t="s">
        <v>102</v>
      </c>
    </row>
    <row r="68" spans="2:14" x14ac:dyDescent="0.25">
      <c r="B68" s="64" t="s">
        <v>3</v>
      </c>
      <c r="C68" s="65">
        <f>H58</f>
        <v>20000000.000000004</v>
      </c>
      <c r="L68" s="72">
        <v>40495.07</v>
      </c>
      <c r="M68" s="73" t="s">
        <v>103</v>
      </c>
    </row>
    <row r="69" spans="2:14" x14ac:dyDescent="0.25">
      <c r="B69" s="63" t="s">
        <v>91</v>
      </c>
      <c r="C69" s="40">
        <f>L58</f>
        <v>20000000</v>
      </c>
      <c r="L69" s="72">
        <v>96950.58</v>
      </c>
      <c r="M69" s="73" t="s">
        <v>104</v>
      </c>
    </row>
    <row r="70" spans="2:14" x14ac:dyDescent="0.25">
      <c r="B70" s="64" t="s">
        <v>92</v>
      </c>
      <c r="C70" s="65">
        <f>C68-C69</f>
        <v>0</v>
      </c>
      <c r="L70" s="72">
        <v>46538.74</v>
      </c>
      <c r="M70" s="73" t="s">
        <v>98</v>
      </c>
    </row>
    <row r="71" spans="2:14" x14ac:dyDescent="0.25">
      <c r="L71" s="72">
        <v>80314.149999999994</v>
      </c>
      <c r="M71" s="73" t="s">
        <v>98</v>
      </c>
    </row>
    <row r="72" spans="2:14" x14ac:dyDescent="0.25">
      <c r="L72" s="72">
        <v>7247.9</v>
      </c>
      <c r="M72" s="73" t="s">
        <v>98</v>
      </c>
    </row>
    <row r="73" spans="2:14" x14ac:dyDescent="0.25">
      <c r="L73" s="72">
        <v>11331.65</v>
      </c>
      <c r="M73" s="73" t="s">
        <v>98</v>
      </c>
    </row>
    <row r="74" spans="2:14" x14ac:dyDescent="0.25">
      <c r="L74" s="79">
        <f>SUM(L67:L73)</f>
        <v>293163.09000000003</v>
      </c>
    </row>
    <row r="75" spans="2:14" x14ac:dyDescent="0.25">
      <c r="K75" s="2"/>
      <c r="L75" s="75">
        <v>110053.19</v>
      </c>
      <c r="M75" s="74" t="s">
        <v>105</v>
      </c>
      <c r="N75" s="74"/>
    </row>
    <row r="76" spans="2:14" x14ac:dyDescent="0.25">
      <c r="L76" s="80">
        <f>L75</f>
        <v>110053.19</v>
      </c>
    </row>
    <row r="77" spans="2:14" x14ac:dyDescent="0.25">
      <c r="L77" s="77">
        <v>5273554.6500000004</v>
      </c>
      <c r="M77" s="76" t="s">
        <v>106</v>
      </c>
      <c r="N77" s="76"/>
    </row>
    <row r="78" spans="2:14" x14ac:dyDescent="0.25">
      <c r="L78" s="77">
        <f>1796028.17+632703.46</f>
        <v>2428731.63</v>
      </c>
      <c r="M78" s="76" t="s">
        <v>111</v>
      </c>
      <c r="N78" s="76"/>
    </row>
    <row r="79" spans="2:14" x14ac:dyDescent="0.25">
      <c r="L79" s="77">
        <v>724697.25</v>
      </c>
      <c r="M79" s="76" t="s">
        <v>107</v>
      </c>
      <c r="N79" s="76"/>
    </row>
    <row r="80" spans="2:14" x14ac:dyDescent="0.25">
      <c r="L80" s="77">
        <v>1851131.74</v>
      </c>
      <c r="M80" s="76" t="s">
        <v>108</v>
      </c>
      <c r="N80" s="76"/>
    </row>
    <row r="81" spans="12:14" x14ac:dyDescent="0.25">
      <c r="L81" s="77">
        <v>14285052.060000001</v>
      </c>
      <c r="M81" s="76" t="s">
        <v>109</v>
      </c>
      <c r="N81" s="76"/>
    </row>
    <row r="82" spans="12:14" x14ac:dyDescent="0.25">
      <c r="L82" s="77">
        <v>559011.80000000005</v>
      </c>
      <c r="M82" s="76" t="s">
        <v>110</v>
      </c>
      <c r="N82" s="76"/>
    </row>
    <row r="83" spans="12:14" x14ac:dyDescent="0.25">
      <c r="L83" s="77">
        <v>-724315.94</v>
      </c>
      <c r="M83" s="76" t="s">
        <v>112</v>
      </c>
      <c r="N83" s="76"/>
    </row>
    <row r="84" spans="12:14" x14ac:dyDescent="0.25">
      <c r="L84" s="77">
        <v>269.10000000000002</v>
      </c>
      <c r="M84" s="76" t="s">
        <v>113</v>
      </c>
      <c r="N84" s="76"/>
    </row>
    <row r="85" spans="12:14" x14ac:dyDescent="0.25">
      <c r="L85" s="77">
        <v>234760.32000000001</v>
      </c>
      <c r="M85" s="76" t="s">
        <v>114</v>
      </c>
      <c r="N85" s="76"/>
    </row>
    <row r="86" spans="12:14" x14ac:dyDescent="0.25">
      <c r="L86" s="77">
        <v>3790127.04</v>
      </c>
      <c r="M86" s="76" t="s">
        <v>115</v>
      </c>
      <c r="N86" s="76"/>
    </row>
    <row r="87" spans="12:14" x14ac:dyDescent="0.25">
      <c r="L87" s="77">
        <v>262915.36</v>
      </c>
      <c r="M87" s="76" t="s">
        <v>116</v>
      </c>
      <c r="N87" s="76"/>
    </row>
    <row r="88" spans="12:14" x14ac:dyDescent="0.25">
      <c r="L88" s="77">
        <v>10987</v>
      </c>
      <c r="M88" s="76" t="s">
        <v>117</v>
      </c>
      <c r="N88" s="76"/>
    </row>
    <row r="89" spans="12:14" x14ac:dyDescent="0.25">
      <c r="L89" s="81">
        <f>SUM(L77:L88)</f>
        <v>28696922.010000002</v>
      </c>
    </row>
  </sheetData>
  <mergeCells count="11">
    <mergeCell ref="A5:A6"/>
    <mergeCell ref="B5:B6"/>
    <mergeCell ref="I5:M5"/>
    <mergeCell ref="N5:O5"/>
    <mergeCell ref="Q5:Q6"/>
    <mergeCell ref="H5:H6"/>
    <mergeCell ref="E5:E6"/>
    <mergeCell ref="F5:F6"/>
    <mergeCell ref="C5:C6"/>
    <mergeCell ref="G5:G6"/>
    <mergeCell ref="D5:D6"/>
  </mergeCells>
  <pageMargins left="0.70866141732283472" right="0.70866141732283472" top="0.78740157480314965" bottom="0.78740157480314965" header="0.31496062992125984" footer="0.31496062992125984"/>
  <pageSetup paperSize="8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71"/>
  <sheetViews>
    <sheetView topLeftCell="A19" workbookViewId="0">
      <selection activeCell="H41" sqref="H41:H49"/>
    </sheetView>
  </sheetViews>
  <sheetFormatPr defaultRowHeight="15" x14ac:dyDescent="0.25"/>
  <cols>
    <col min="1" max="1" width="9" bestFit="1" customWidth="1"/>
    <col min="2" max="2" width="32.28515625" customWidth="1"/>
    <col min="3" max="3" width="29.7109375" customWidth="1"/>
    <col min="4" max="4" width="20.5703125" customWidth="1"/>
    <col min="5" max="5" width="20" style="2" customWidth="1"/>
    <col min="6" max="6" width="20.7109375" customWidth="1"/>
    <col min="7" max="7" width="18" customWidth="1"/>
    <col min="8" max="8" width="22.28515625" customWidth="1"/>
    <col min="9" max="9" width="15.42578125" bestFit="1" customWidth="1"/>
  </cols>
  <sheetData>
    <row r="1" spans="1:8" ht="16.5" customHeight="1" x14ac:dyDescent="0.25">
      <c r="C1" s="1"/>
      <c r="D1" s="1"/>
      <c r="F1" s="2"/>
      <c r="G1" s="2"/>
    </row>
    <row r="2" spans="1:8" ht="34.5" thickBot="1" x14ac:dyDescent="0.55000000000000004">
      <c r="A2" s="8" t="s">
        <v>83</v>
      </c>
      <c r="B2" s="8">
        <v>2018</v>
      </c>
      <c r="C2" s="41"/>
      <c r="D2" s="41"/>
      <c r="F2" s="2"/>
      <c r="G2" s="2"/>
      <c r="H2" s="2"/>
    </row>
    <row r="3" spans="1:8" ht="3.75" hidden="1" customHeight="1" x14ac:dyDescent="0.55000000000000004">
      <c r="B3" s="8"/>
      <c r="C3" s="1"/>
      <c r="D3" s="1"/>
      <c r="F3" s="2"/>
      <c r="G3" s="2"/>
      <c r="H3" s="2"/>
    </row>
    <row r="4" spans="1:8" ht="15" customHeight="1" x14ac:dyDescent="0.25">
      <c r="A4" s="171" t="s">
        <v>1</v>
      </c>
      <c r="B4" s="173" t="s">
        <v>2</v>
      </c>
      <c r="C4" s="178" t="s">
        <v>93</v>
      </c>
      <c r="D4" s="175" t="s">
        <v>70</v>
      </c>
      <c r="E4" s="178" t="s">
        <v>72</v>
      </c>
      <c r="F4" s="175" t="s">
        <v>73</v>
      </c>
      <c r="G4" s="180" t="s">
        <v>118</v>
      </c>
      <c r="H4" s="175" t="s">
        <v>94</v>
      </c>
    </row>
    <row r="5" spans="1:8" ht="227.25" customHeight="1" thickBot="1" x14ac:dyDescent="0.3">
      <c r="A5" s="172"/>
      <c r="B5" s="174"/>
      <c r="C5" s="179"/>
      <c r="D5" s="176"/>
      <c r="E5" s="179"/>
      <c r="F5" s="176"/>
      <c r="G5" s="181"/>
      <c r="H5" s="176"/>
    </row>
    <row r="6" spans="1:8" s="1" customFormat="1" ht="15" customHeight="1" x14ac:dyDescent="0.25">
      <c r="A6" s="120">
        <v>3110</v>
      </c>
      <c r="B6" s="125" t="s">
        <v>9</v>
      </c>
      <c r="C6" s="52">
        <v>920032</v>
      </c>
      <c r="D6" s="52">
        <v>0</v>
      </c>
      <c r="E6" s="52"/>
      <c r="F6" s="52">
        <v>0</v>
      </c>
      <c r="G6" s="52"/>
      <c r="H6" s="126">
        <f>C6+D6-E6-F6+G6</f>
        <v>920032</v>
      </c>
    </row>
    <row r="7" spans="1:8" s="1" customFormat="1" ht="15" customHeight="1" x14ac:dyDescent="0.25">
      <c r="A7" s="121">
        <v>3111</v>
      </c>
      <c r="B7" s="127" t="s">
        <v>10</v>
      </c>
      <c r="C7" s="42">
        <v>13804033.660000006</v>
      </c>
      <c r="D7" s="42">
        <v>0</v>
      </c>
      <c r="E7" s="82">
        <v>489613.81</v>
      </c>
      <c r="F7" s="42">
        <v>971909.18</v>
      </c>
      <c r="G7" s="42">
        <v>26321.67</v>
      </c>
      <c r="H7" s="126">
        <f t="shared" ref="H7:H58" si="0">C7+D7-E7-F7+G7</f>
        <v>12368832.340000005</v>
      </c>
    </row>
    <row r="8" spans="1:8" s="1" customFormat="1" ht="15" customHeight="1" x14ac:dyDescent="0.25">
      <c r="A8" s="121">
        <v>3112</v>
      </c>
      <c r="B8" s="127" t="s">
        <v>11</v>
      </c>
      <c r="C8" s="42">
        <v>10016176.85</v>
      </c>
      <c r="D8" s="42">
        <v>0</v>
      </c>
      <c r="E8" s="42">
        <v>385315.77</v>
      </c>
      <c r="F8" s="42">
        <v>1071238.1399999999</v>
      </c>
      <c r="G8" s="83">
        <v>-108254.66</v>
      </c>
      <c r="H8" s="126">
        <f t="shared" si="0"/>
        <v>8451368.2799999993</v>
      </c>
    </row>
    <row r="9" spans="1:8" s="1" customFormat="1" ht="15" customHeight="1" x14ac:dyDescent="0.25">
      <c r="A9" s="121">
        <v>3113</v>
      </c>
      <c r="B9" s="127" t="s">
        <v>12</v>
      </c>
      <c r="C9" s="42">
        <v>7580066.2599999998</v>
      </c>
      <c r="D9" s="42">
        <v>0</v>
      </c>
      <c r="E9" s="42">
        <v>549665.72</v>
      </c>
      <c r="F9" s="42">
        <v>737169.13</v>
      </c>
      <c r="G9" s="42">
        <v>1343046.79</v>
      </c>
      <c r="H9" s="126">
        <f t="shared" si="0"/>
        <v>7636278.2000000002</v>
      </c>
    </row>
    <row r="10" spans="1:8" s="1" customFormat="1" ht="15" customHeight="1" x14ac:dyDescent="0.25">
      <c r="A10" s="121">
        <v>3120</v>
      </c>
      <c r="B10" s="128" t="s">
        <v>13</v>
      </c>
      <c r="C10" s="53">
        <v>1554624</v>
      </c>
      <c r="D10" s="53">
        <v>0</v>
      </c>
      <c r="E10" s="52"/>
      <c r="F10" s="52">
        <v>0</v>
      </c>
      <c r="G10" s="52">
        <v>0</v>
      </c>
      <c r="H10" s="126">
        <f t="shared" si="0"/>
        <v>1554624</v>
      </c>
    </row>
    <row r="11" spans="1:8" s="1" customFormat="1" ht="15" customHeight="1" x14ac:dyDescent="0.25">
      <c r="A11" s="121">
        <v>3122</v>
      </c>
      <c r="B11" s="127" t="s">
        <v>14</v>
      </c>
      <c r="C11" s="42">
        <v>5129882.59</v>
      </c>
      <c r="D11" s="42">
        <v>0</v>
      </c>
      <c r="E11" s="42">
        <v>531589.34</v>
      </c>
      <c r="F11" s="42">
        <v>2041122.0599999996</v>
      </c>
      <c r="G11" s="42">
        <v>640289.6</v>
      </c>
      <c r="H11" s="126">
        <f t="shared" si="0"/>
        <v>3197460.7900000005</v>
      </c>
    </row>
    <row r="12" spans="1:8" s="1" customFormat="1" ht="15" customHeight="1" x14ac:dyDescent="0.25">
      <c r="A12" s="121">
        <v>3123</v>
      </c>
      <c r="B12" s="127" t="s">
        <v>15</v>
      </c>
      <c r="C12" s="42">
        <v>11364927.550000004</v>
      </c>
      <c r="D12" s="42">
        <v>0</v>
      </c>
      <c r="E12" s="42"/>
      <c r="F12" s="42">
        <v>2654969.64</v>
      </c>
      <c r="G12" s="42">
        <v>1249818.1100000001</v>
      </c>
      <c r="H12" s="126">
        <f t="shared" si="0"/>
        <v>9959776.0200000033</v>
      </c>
    </row>
    <row r="13" spans="1:8" s="1" customFormat="1" ht="15" customHeight="1" x14ac:dyDescent="0.25">
      <c r="A13" s="121">
        <v>3125</v>
      </c>
      <c r="B13" s="127" t="s">
        <v>16</v>
      </c>
      <c r="C13" s="42">
        <v>4265774.5500000007</v>
      </c>
      <c r="D13" s="42">
        <v>0</v>
      </c>
      <c r="E13" s="42"/>
      <c r="F13" s="42">
        <v>112469.48999999999</v>
      </c>
      <c r="G13" s="42">
        <v>471628.65</v>
      </c>
      <c r="H13" s="126">
        <f t="shared" si="0"/>
        <v>4624933.7100000009</v>
      </c>
    </row>
    <row r="14" spans="1:8" s="1" customFormat="1" ht="15" customHeight="1" x14ac:dyDescent="0.25">
      <c r="A14" s="121">
        <v>3127</v>
      </c>
      <c r="B14" s="127" t="s">
        <v>17</v>
      </c>
      <c r="C14" s="42">
        <v>1601949.3600000006</v>
      </c>
      <c r="D14" s="42">
        <v>0</v>
      </c>
      <c r="E14" s="42"/>
      <c r="F14" s="42">
        <v>977584.04999999958</v>
      </c>
      <c r="G14" s="42">
        <v>0</v>
      </c>
      <c r="H14" s="126">
        <f t="shared" si="0"/>
        <v>624365.31000000099</v>
      </c>
    </row>
    <row r="15" spans="1:8" s="1" customFormat="1" ht="15" customHeight="1" x14ac:dyDescent="0.25">
      <c r="A15" s="121">
        <v>3130</v>
      </c>
      <c r="B15" s="128" t="s">
        <v>18</v>
      </c>
      <c r="C15" s="53">
        <v>631397.54999999993</v>
      </c>
      <c r="D15" s="53">
        <v>0</v>
      </c>
      <c r="E15" s="52"/>
      <c r="F15" s="52">
        <v>0</v>
      </c>
      <c r="G15" s="52">
        <v>5000</v>
      </c>
      <c r="H15" s="126">
        <f t="shared" si="0"/>
        <v>636397.54999999993</v>
      </c>
    </row>
    <row r="16" spans="1:8" s="1" customFormat="1" ht="15" customHeight="1" x14ac:dyDescent="0.25">
      <c r="A16" s="121">
        <v>3131</v>
      </c>
      <c r="B16" s="127" t="s">
        <v>19</v>
      </c>
      <c r="C16" s="42">
        <v>3886471.62</v>
      </c>
      <c r="D16" s="42">
        <v>0</v>
      </c>
      <c r="E16" s="42"/>
      <c r="F16" s="42">
        <v>1382752.9100000001</v>
      </c>
      <c r="G16" s="42">
        <v>740072.73</v>
      </c>
      <c r="H16" s="126">
        <f t="shared" si="0"/>
        <v>3243791.44</v>
      </c>
    </row>
    <row r="17" spans="1:8" s="1" customFormat="1" ht="15" customHeight="1" x14ac:dyDescent="0.25">
      <c r="A17" s="121">
        <v>3132</v>
      </c>
      <c r="B17" s="127" t="s">
        <v>20</v>
      </c>
      <c r="C17" s="42">
        <v>2690603.3200000003</v>
      </c>
      <c r="D17" s="42">
        <v>0</v>
      </c>
      <c r="E17" s="42"/>
      <c r="F17" s="42">
        <v>3034295.6500000004</v>
      </c>
      <c r="G17" s="42">
        <v>3012361.47</v>
      </c>
      <c r="H17" s="126">
        <f t="shared" si="0"/>
        <v>2668669.14</v>
      </c>
    </row>
    <row r="18" spans="1:8" s="1" customFormat="1" ht="15" customHeight="1" x14ac:dyDescent="0.25">
      <c r="A18" s="121">
        <v>3133</v>
      </c>
      <c r="B18" s="127" t="s">
        <v>21</v>
      </c>
      <c r="C18" s="42">
        <v>6186696.71</v>
      </c>
      <c r="D18" s="42">
        <v>0</v>
      </c>
      <c r="E18" s="42"/>
      <c r="F18" s="42">
        <v>2095822.4300000002</v>
      </c>
      <c r="G18" s="42">
        <v>2947060.94</v>
      </c>
      <c r="H18" s="126">
        <f t="shared" si="0"/>
        <v>7037935.2199999997</v>
      </c>
    </row>
    <row r="19" spans="1:8" s="1" customFormat="1" ht="15" customHeight="1" x14ac:dyDescent="0.25">
      <c r="A19" s="121">
        <v>3134</v>
      </c>
      <c r="B19" s="127" t="s">
        <v>22</v>
      </c>
      <c r="C19" s="42">
        <v>501426.31000000029</v>
      </c>
      <c r="D19" s="42">
        <v>0</v>
      </c>
      <c r="E19" s="42"/>
      <c r="F19" s="42">
        <v>0</v>
      </c>
      <c r="G19" s="83">
        <v>-210849.03</v>
      </c>
      <c r="H19" s="126">
        <f t="shared" si="0"/>
        <v>290577.28000000026</v>
      </c>
    </row>
    <row r="20" spans="1:8" s="1" customFormat="1" ht="15" customHeight="1" x14ac:dyDescent="0.25">
      <c r="A20" s="121">
        <v>3135</v>
      </c>
      <c r="B20" s="127" t="s">
        <v>23</v>
      </c>
      <c r="C20" s="42">
        <v>1577790.68</v>
      </c>
      <c r="D20" s="42">
        <v>0</v>
      </c>
      <c r="E20" s="42">
        <v>35327.160000000003</v>
      </c>
      <c r="F20" s="42">
        <v>925724.97</v>
      </c>
      <c r="G20" s="42">
        <v>936938.05</v>
      </c>
      <c r="H20" s="126">
        <f t="shared" si="0"/>
        <v>1553676.6</v>
      </c>
    </row>
    <row r="21" spans="1:8" s="1" customFormat="1" ht="15" customHeight="1" x14ac:dyDescent="0.25">
      <c r="A21" s="121">
        <v>3140</v>
      </c>
      <c r="B21" s="128" t="s">
        <v>24</v>
      </c>
      <c r="C21" s="53">
        <v>177000</v>
      </c>
      <c r="D21" s="53">
        <v>0</v>
      </c>
      <c r="E21" s="52"/>
      <c r="F21" s="52">
        <v>0</v>
      </c>
      <c r="G21" s="52">
        <v>0</v>
      </c>
      <c r="H21" s="126">
        <f t="shared" si="0"/>
        <v>177000</v>
      </c>
    </row>
    <row r="22" spans="1:8" s="1" customFormat="1" ht="15" customHeight="1" x14ac:dyDescent="0.25">
      <c r="A22" s="121">
        <v>3141</v>
      </c>
      <c r="B22" s="127" t="s">
        <v>25</v>
      </c>
      <c r="C22" s="42">
        <v>720618.33000000007</v>
      </c>
      <c r="D22" s="42">
        <v>0</v>
      </c>
      <c r="E22" s="42">
        <v>1138306.25</v>
      </c>
      <c r="F22" s="42">
        <v>11618.9</v>
      </c>
      <c r="G22" s="42">
        <v>249286.36</v>
      </c>
      <c r="H22" s="126">
        <f t="shared" si="0"/>
        <v>-180020.45999999996</v>
      </c>
    </row>
    <row r="23" spans="1:8" s="1" customFormat="1" ht="15" customHeight="1" x14ac:dyDescent="0.25">
      <c r="A23" s="121">
        <v>3142</v>
      </c>
      <c r="B23" s="127" t="s">
        <v>26</v>
      </c>
      <c r="C23" s="42">
        <v>644490.54</v>
      </c>
      <c r="D23" s="42">
        <v>-553720.94999999995</v>
      </c>
      <c r="E23" s="42"/>
      <c r="F23" s="42">
        <v>90769.590000000011</v>
      </c>
      <c r="G23" s="83">
        <v>-385227.94</v>
      </c>
      <c r="H23" s="126">
        <f t="shared" si="0"/>
        <v>-385227.93999999994</v>
      </c>
    </row>
    <row r="24" spans="1:8" s="1" customFormat="1" ht="15" customHeight="1" x14ac:dyDescent="0.25">
      <c r="A24" s="121">
        <v>3143</v>
      </c>
      <c r="B24" s="127" t="s">
        <v>27</v>
      </c>
      <c r="C24" s="42">
        <v>3881070.59</v>
      </c>
      <c r="D24" s="42">
        <v>0</v>
      </c>
      <c r="E24" s="42">
        <v>54083</v>
      </c>
      <c r="F24" s="42">
        <v>44359.729999999996</v>
      </c>
      <c r="G24" s="42">
        <v>1955880.45</v>
      </c>
      <c r="H24" s="126">
        <f t="shared" si="0"/>
        <v>5738508.3099999996</v>
      </c>
    </row>
    <row r="25" spans="1:8" s="1" customFormat="1" ht="15" customHeight="1" x14ac:dyDescent="0.25">
      <c r="A25" s="121">
        <v>3144</v>
      </c>
      <c r="B25" s="127" t="s">
        <v>28</v>
      </c>
      <c r="C25" s="42">
        <v>555148.06999999995</v>
      </c>
      <c r="D25" s="42">
        <v>0</v>
      </c>
      <c r="E25" s="42">
        <v>49158</v>
      </c>
      <c r="F25" s="42">
        <v>131962.92000000001</v>
      </c>
      <c r="G25" s="42">
        <v>285534.82</v>
      </c>
      <c r="H25" s="126">
        <f t="shared" si="0"/>
        <v>659561.97</v>
      </c>
    </row>
    <row r="26" spans="1:8" s="1" customFormat="1" ht="15" customHeight="1" x14ac:dyDescent="0.25">
      <c r="A26" s="121">
        <v>3145</v>
      </c>
      <c r="B26" s="127" t="s">
        <v>29</v>
      </c>
      <c r="C26" s="42">
        <v>5371698.2999999989</v>
      </c>
      <c r="D26" s="42">
        <v>-500000</v>
      </c>
      <c r="E26" s="42">
        <v>968287.14</v>
      </c>
      <c r="F26" s="42">
        <v>0</v>
      </c>
      <c r="G26" s="42">
        <v>924524.97</v>
      </c>
      <c r="H26" s="126">
        <f t="shared" si="0"/>
        <v>4827936.129999999</v>
      </c>
    </row>
    <row r="27" spans="1:8" s="1" customFormat="1" ht="15" customHeight="1" x14ac:dyDescent="0.25">
      <c r="A27" s="121">
        <v>3150</v>
      </c>
      <c r="B27" s="128" t="s">
        <v>30</v>
      </c>
      <c r="C27" s="53">
        <v>0</v>
      </c>
      <c r="D27" s="53">
        <v>0</v>
      </c>
      <c r="E27" s="52"/>
      <c r="F27" s="52">
        <v>0</v>
      </c>
      <c r="G27" s="52">
        <v>0</v>
      </c>
      <c r="H27" s="126">
        <f t="shared" si="0"/>
        <v>0</v>
      </c>
    </row>
    <row r="28" spans="1:8" s="1" customFormat="1" ht="15" customHeight="1" x14ac:dyDescent="0.25">
      <c r="A28" s="121">
        <v>3151</v>
      </c>
      <c r="B28" s="127" t="s">
        <v>31</v>
      </c>
      <c r="C28" s="42">
        <v>720941.5399999998</v>
      </c>
      <c r="D28" s="42">
        <v>0</v>
      </c>
      <c r="E28" s="42"/>
      <c r="F28" s="42">
        <v>0</v>
      </c>
      <c r="G28" s="42">
        <v>976399.5</v>
      </c>
      <c r="H28" s="126">
        <f t="shared" si="0"/>
        <v>1697341.0399999998</v>
      </c>
    </row>
    <row r="29" spans="1:8" s="1" customFormat="1" ht="15" customHeight="1" x14ac:dyDescent="0.25">
      <c r="A29" s="121">
        <v>3152</v>
      </c>
      <c r="B29" s="127" t="s">
        <v>32</v>
      </c>
      <c r="C29" s="42">
        <v>2090334.6100000003</v>
      </c>
      <c r="D29" s="42">
        <v>0</v>
      </c>
      <c r="E29" s="42"/>
      <c r="F29" s="42">
        <v>1223888.94</v>
      </c>
      <c r="G29" s="42">
        <v>81967.460000000006</v>
      </c>
      <c r="H29" s="126">
        <f t="shared" si="0"/>
        <v>948413.13000000035</v>
      </c>
    </row>
    <row r="30" spans="1:8" s="1" customFormat="1" ht="15" customHeight="1" x14ac:dyDescent="0.25">
      <c r="A30" s="121">
        <v>3153</v>
      </c>
      <c r="B30" s="127" t="s">
        <v>33</v>
      </c>
      <c r="C30" s="42">
        <v>1826737.0100000002</v>
      </c>
      <c r="D30" s="42">
        <v>0</v>
      </c>
      <c r="E30" s="42">
        <v>273836.40000000002</v>
      </c>
      <c r="F30" s="42">
        <v>121772.95999999999</v>
      </c>
      <c r="G30" s="83">
        <v>-221171.78</v>
      </c>
      <c r="H30" s="126">
        <f t="shared" si="0"/>
        <v>1209955.8700000003</v>
      </c>
    </row>
    <row r="31" spans="1:8" s="1" customFormat="1" ht="15" customHeight="1" x14ac:dyDescent="0.25">
      <c r="A31" s="121">
        <v>3154</v>
      </c>
      <c r="B31" s="127" t="s">
        <v>34</v>
      </c>
      <c r="C31" s="42">
        <v>574825.47</v>
      </c>
      <c r="D31" s="42">
        <v>-509883.83</v>
      </c>
      <c r="E31" s="42"/>
      <c r="F31" s="42">
        <v>0</v>
      </c>
      <c r="G31" s="42">
        <v>829725.32</v>
      </c>
      <c r="H31" s="126">
        <f t="shared" si="0"/>
        <v>894666.96</v>
      </c>
    </row>
    <row r="32" spans="1:8" s="1" customFormat="1" ht="15" customHeight="1" x14ac:dyDescent="0.25">
      <c r="A32" s="121">
        <v>3137</v>
      </c>
      <c r="B32" s="129" t="s">
        <v>35</v>
      </c>
      <c r="C32" s="43">
        <v>256891.2900000001</v>
      </c>
      <c r="D32" s="43">
        <v>0</v>
      </c>
      <c r="E32" s="52"/>
      <c r="F32" s="52">
        <v>0</v>
      </c>
      <c r="G32" s="52">
        <v>793264.88</v>
      </c>
      <c r="H32" s="126">
        <f t="shared" si="0"/>
        <v>1050156.1700000002</v>
      </c>
    </row>
    <row r="33" spans="1:8" s="1" customFormat="1" ht="15" customHeight="1" x14ac:dyDescent="0.25">
      <c r="A33" s="121">
        <v>3701</v>
      </c>
      <c r="B33" s="127" t="s">
        <v>36</v>
      </c>
      <c r="C33" s="42">
        <v>687147.57999999984</v>
      </c>
      <c r="D33" s="42">
        <v>0</v>
      </c>
      <c r="E33" s="42"/>
      <c r="F33" s="82">
        <v>96569.35</v>
      </c>
      <c r="G33" s="82">
        <v>1496461.56</v>
      </c>
      <c r="H33" s="126">
        <f t="shared" si="0"/>
        <v>2087039.79</v>
      </c>
    </row>
    <row r="34" spans="1:8" s="1" customFormat="1" ht="15" customHeight="1" x14ac:dyDescent="0.25">
      <c r="A34" s="121">
        <v>3702</v>
      </c>
      <c r="B34" s="127" t="s">
        <v>37</v>
      </c>
      <c r="C34" s="42">
        <v>1823356.2799999996</v>
      </c>
      <c r="D34" s="42">
        <f>500000-617291.64-1662315.96</f>
        <v>-1779607.6</v>
      </c>
      <c r="E34" s="42"/>
      <c r="F34" s="42">
        <v>732.11</v>
      </c>
      <c r="G34" s="42">
        <v>1057499.69</v>
      </c>
      <c r="H34" s="126">
        <f t="shared" si="0"/>
        <v>1100516.2599999993</v>
      </c>
    </row>
    <row r="35" spans="1:8" s="1" customFormat="1" ht="15" customHeight="1" x14ac:dyDescent="0.25">
      <c r="A35" s="121">
        <v>3703</v>
      </c>
      <c r="B35" s="127" t="s">
        <v>38</v>
      </c>
      <c r="C35" s="42">
        <v>64783.900000000023</v>
      </c>
      <c r="D35" s="42">
        <v>0</v>
      </c>
      <c r="E35" s="42"/>
      <c r="F35" s="42">
        <v>68583.86000000003</v>
      </c>
      <c r="G35" s="42">
        <v>0</v>
      </c>
      <c r="H35" s="126">
        <f t="shared" si="0"/>
        <v>-3799.9600000000064</v>
      </c>
    </row>
    <row r="36" spans="1:8" s="1" customFormat="1" ht="15" customHeight="1" x14ac:dyDescent="0.25">
      <c r="A36" s="121">
        <v>3704</v>
      </c>
      <c r="B36" s="127" t="s">
        <v>39</v>
      </c>
      <c r="C36" s="42">
        <v>3699507.3</v>
      </c>
      <c r="D36" s="42">
        <v>0</v>
      </c>
      <c r="E36" s="42"/>
      <c r="F36" s="42">
        <v>157097.19</v>
      </c>
      <c r="G36" s="42">
        <v>2155470.56</v>
      </c>
      <c r="H36" s="126">
        <f t="shared" si="0"/>
        <v>5697880.6699999999</v>
      </c>
    </row>
    <row r="37" spans="1:8" s="1" customFormat="1" ht="15" customHeight="1" x14ac:dyDescent="0.25">
      <c r="A37" s="121">
        <v>3705</v>
      </c>
      <c r="B37" s="127" t="s">
        <v>40</v>
      </c>
      <c r="C37" s="42">
        <v>927948.51</v>
      </c>
      <c r="D37" s="42">
        <v>0</v>
      </c>
      <c r="E37" s="42"/>
      <c r="F37" s="42">
        <v>0</v>
      </c>
      <c r="G37" s="42">
        <v>2137120.06</v>
      </c>
      <c r="H37" s="126">
        <f t="shared" si="0"/>
        <v>3065068.5700000003</v>
      </c>
    </row>
    <row r="38" spans="1:8" s="1" customFormat="1" ht="15" customHeight="1" x14ac:dyDescent="0.25">
      <c r="A38" s="121">
        <v>3706</v>
      </c>
      <c r="B38" s="127" t="s">
        <v>41</v>
      </c>
      <c r="C38" s="42">
        <v>61390.540000000008</v>
      </c>
      <c r="D38" s="42">
        <v>0</v>
      </c>
      <c r="E38" s="42"/>
      <c r="F38" s="42">
        <v>8676</v>
      </c>
      <c r="G38" s="42">
        <v>28245.65</v>
      </c>
      <c r="H38" s="126">
        <f t="shared" si="0"/>
        <v>80960.19</v>
      </c>
    </row>
    <row r="39" spans="1:8" s="1" customFormat="1" ht="15.75" hidden="1" customHeight="1" x14ac:dyDescent="0.25">
      <c r="A39" s="121">
        <v>3707</v>
      </c>
      <c r="B39" s="130" t="s">
        <v>42</v>
      </c>
      <c r="C39" s="42">
        <v>0</v>
      </c>
      <c r="D39" s="42">
        <v>0</v>
      </c>
      <c r="E39" s="42"/>
      <c r="F39" s="42">
        <v>0</v>
      </c>
      <c r="G39" s="42"/>
      <c r="H39" s="126">
        <f t="shared" si="0"/>
        <v>0</v>
      </c>
    </row>
    <row r="40" spans="1:8" s="1" customFormat="1" ht="15" hidden="1" customHeight="1" x14ac:dyDescent="0.25">
      <c r="A40" s="121">
        <v>3708</v>
      </c>
      <c r="B40" s="130" t="s">
        <v>42</v>
      </c>
      <c r="C40" s="44">
        <v>0</v>
      </c>
      <c r="D40" s="44">
        <v>0</v>
      </c>
      <c r="E40" s="84"/>
      <c r="F40" s="84">
        <v>0</v>
      </c>
      <c r="G40" s="42"/>
      <c r="H40" s="126">
        <f t="shared" si="0"/>
        <v>0</v>
      </c>
    </row>
    <row r="41" spans="1:8" s="1" customFormat="1" ht="15" customHeight="1" x14ac:dyDescent="0.25">
      <c r="A41" s="121">
        <v>3720</v>
      </c>
      <c r="B41" s="129" t="s">
        <v>43</v>
      </c>
      <c r="C41" s="43">
        <v>6024652.1699999999</v>
      </c>
      <c r="D41" s="43">
        <v>0</v>
      </c>
      <c r="E41" s="52"/>
      <c r="F41" s="52">
        <v>487.76</v>
      </c>
      <c r="G41" s="52">
        <v>495967.93</v>
      </c>
      <c r="H41" s="126">
        <f t="shared" si="0"/>
        <v>6520132.3399999999</v>
      </c>
    </row>
    <row r="42" spans="1:8" s="1" customFormat="1" ht="15" customHeight="1" x14ac:dyDescent="0.25">
      <c r="A42" s="121">
        <v>3721</v>
      </c>
      <c r="B42" s="127" t="s">
        <v>44</v>
      </c>
      <c r="C42" s="42">
        <v>1848406.4699999997</v>
      </c>
      <c r="D42" s="42">
        <v>617291.64</v>
      </c>
      <c r="E42" s="42"/>
      <c r="F42" s="42">
        <v>487.76</v>
      </c>
      <c r="G42" s="42">
        <v>1390980.4</v>
      </c>
      <c r="H42" s="126">
        <f t="shared" si="0"/>
        <v>3856190.75</v>
      </c>
    </row>
    <row r="43" spans="1:8" s="1" customFormat="1" ht="15" customHeight="1" x14ac:dyDescent="0.25">
      <c r="A43" s="121">
        <v>3722</v>
      </c>
      <c r="B43" s="127" t="s">
        <v>45</v>
      </c>
      <c r="C43" s="42">
        <v>5492932.5099999998</v>
      </c>
      <c r="D43" s="42">
        <v>0</v>
      </c>
      <c r="E43" s="42"/>
      <c r="F43" s="42">
        <v>26546.76</v>
      </c>
      <c r="G43" s="83">
        <v>-1301299.5900000001</v>
      </c>
      <c r="H43" s="126">
        <f t="shared" si="0"/>
        <v>4165086.16</v>
      </c>
    </row>
    <row r="44" spans="1:8" s="1" customFormat="1" ht="15" customHeight="1" x14ac:dyDescent="0.25">
      <c r="A44" s="121">
        <v>3723</v>
      </c>
      <c r="B44" s="127" t="s">
        <v>46</v>
      </c>
      <c r="C44" s="42">
        <v>4701690.32</v>
      </c>
      <c r="D44" s="42">
        <v>0</v>
      </c>
      <c r="E44" s="42"/>
      <c r="F44" s="42">
        <v>209383</v>
      </c>
      <c r="G44" s="42">
        <v>1948518.61</v>
      </c>
      <c r="H44" s="126">
        <f t="shared" si="0"/>
        <v>6440825.9300000006</v>
      </c>
    </row>
    <row r="45" spans="1:8" s="1" customFormat="1" ht="15" customHeight="1" x14ac:dyDescent="0.25">
      <c r="A45" s="121">
        <v>3724</v>
      </c>
      <c r="B45" s="127" t="s">
        <v>47</v>
      </c>
      <c r="C45" s="42">
        <v>10712898.67</v>
      </c>
      <c r="D45" s="42">
        <f>509883.83-1900000</f>
        <v>-1390116.17</v>
      </c>
      <c r="E45" s="42"/>
      <c r="F45" s="42">
        <v>1151026.3899999999</v>
      </c>
      <c r="G45" s="42">
        <v>1078644.0900000001</v>
      </c>
      <c r="H45" s="126">
        <f t="shared" si="0"/>
        <v>9250400.2000000011</v>
      </c>
    </row>
    <row r="46" spans="1:8" s="1" customFormat="1" ht="15" customHeight="1" x14ac:dyDescent="0.25">
      <c r="A46" s="121">
        <v>3725</v>
      </c>
      <c r="B46" s="127" t="s">
        <v>48</v>
      </c>
      <c r="C46" s="42">
        <v>2850837.2199999997</v>
      </c>
      <c r="D46" s="42">
        <f>-223381.58+1662315.96</f>
        <v>1438934.38</v>
      </c>
      <c r="E46" s="42"/>
      <c r="F46" s="42">
        <v>120.89000000000001</v>
      </c>
      <c r="G46" s="42">
        <v>3194753.88</v>
      </c>
      <c r="H46" s="126">
        <f t="shared" si="0"/>
        <v>7484404.5899999999</v>
      </c>
    </row>
    <row r="47" spans="1:8" s="1" customFormat="1" ht="15" customHeight="1" x14ac:dyDescent="0.25">
      <c r="A47" s="121">
        <v>3726</v>
      </c>
      <c r="B47" s="127" t="s">
        <v>49</v>
      </c>
      <c r="C47" s="42">
        <v>341543.83999999904</v>
      </c>
      <c r="D47" s="42">
        <v>0</v>
      </c>
      <c r="E47" s="42"/>
      <c r="F47" s="42">
        <v>0</v>
      </c>
      <c r="G47" s="42">
        <v>206909.94</v>
      </c>
      <c r="H47" s="126">
        <f t="shared" si="0"/>
        <v>548453.7799999991</v>
      </c>
    </row>
    <row r="48" spans="1:8" s="1" customFormat="1" ht="15" customHeight="1" x14ac:dyDescent="0.25">
      <c r="A48" s="121">
        <v>3727</v>
      </c>
      <c r="B48" s="127" t="s">
        <v>50</v>
      </c>
      <c r="C48" s="42">
        <v>4960401.9000000004</v>
      </c>
      <c r="D48" s="42">
        <f>223381.58+553720.95+1900000</f>
        <v>2677102.5299999998</v>
      </c>
      <c r="E48" s="42"/>
      <c r="F48" s="42">
        <v>84999.700000000012</v>
      </c>
      <c r="G48" s="42">
        <v>3794973.42</v>
      </c>
      <c r="H48" s="126">
        <f t="shared" si="0"/>
        <v>11347478.149999999</v>
      </c>
    </row>
    <row r="49" spans="1:9" s="1" customFormat="1" ht="15.75" x14ac:dyDescent="0.25">
      <c r="A49" s="121">
        <v>3728</v>
      </c>
      <c r="B49" s="127" t="s">
        <v>51</v>
      </c>
      <c r="C49" s="42">
        <v>628983.49</v>
      </c>
      <c r="D49" s="42">
        <v>0</v>
      </c>
      <c r="E49" s="42"/>
      <c r="F49" s="42">
        <v>13194.510000000002</v>
      </c>
      <c r="G49" s="42">
        <v>0</v>
      </c>
      <c r="H49" s="126">
        <f t="shared" si="0"/>
        <v>615788.98</v>
      </c>
      <c r="I49" s="190">
        <f>SUM(H6:H49)</f>
        <v>143663435.46000001</v>
      </c>
    </row>
    <row r="50" spans="1:9" s="1" customFormat="1" ht="15.75" hidden="1" x14ac:dyDescent="0.25">
      <c r="A50" s="121">
        <v>3729</v>
      </c>
      <c r="B50" s="130" t="s">
        <v>52</v>
      </c>
      <c r="C50" s="42">
        <v>0</v>
      </c>
      <c r="D50" s="42">
        <v>0</v>
      </c>
      <c r="E50" s="42"/>
      <c r="F50" s="42">
        <v>0</v>
      </c>
      <c r="G50" s="42"/>
      <c r="H50" s="126">
        <f t="shared" si="0"/>
        <v>0</v>
      </c>
    </row>
    <row r="51" spans="1:9" s="1" customFormat="1" ht="15" hidden="1" customHeight="1" x14ac:dyDescent="0.25">
      <c r="A51" s="121">
        <v>3730</v>
      </c>
      <c r="B51" s="130" t="s">
        <v>52</v>
      </c>
      <c r="C51" s="42">
        <v>0</v>
      </c>
      <c r="D51" s="42">
        <v>0</v>
      </c>
      <c r="E51" s="42"/>
      <c r="F51" s="42">
        <v>0</v>
      </c>
      <c r="G51" s="42"/>
      <c r="H51" s="126">
        <f t="shared" si="0"/>
        <v>0</v>
      </c>
    </row>
    <row r="52" spans="1:9" s="1" customFormat="1" ht="42.75" customHeight="1" x14ac:dyDescent="0.25">
      <c r="A52" s="121">
        <v>3740</v>
      </c>
      <c r="B52" s="131" t="s">
        <v>53</v>
      </c>
      <c r="C52" s="43">
        <v>-36782873.460000001</v>
      </c>
      <c r="D52" s="43">
        <v>0</v>
      </c>
      <c r="E52" s="52"/>
      <c r="F52" s="52">
        <v>0</v>
      </c>
      <c r="G52" s="52">
        <v>0</v>
      </c>
      <c r="H52" s="126">
        <f t="shared" si="0"/>
        <v>-36782873.460000001</v>
      </c>
    </row>
    <row r="53" spans="1:9" s="1" customFormat="1" ht="43.5" customHeight="1" x14ac:dyDescent="0.25">
      <c r="A53" s="122">
        <v>3741</v>
      </c>
      <c r="B53" s="131" t="s">
        <v>54</v>
      </c>
      <c r="C53" s="43">
        <v>-1387243.6500000001</v>
      </c>
      <c r="D53" s="43">
        <v>0</v>
      </c>
      <c r="E53" s="52"/>
      <c r="F53" s="52">
        <v>0</v>
      </c>
      <c r="G53" s="52">
        <v>0</v>
      </c>
      <c r="H53" s="126">
        <f t="shared" si="0"/>
        <v>-1387243.6500000001</v>
      </c>
    </row>
    <row r="54" spans="1:9" s="1" customFormat="1" ht="15" customHeight="1" x14ac:dyDescent="0.25">
      <c r="A54" s="122" t="s">
        <v>55</v>
      </c>
      <c r="B54" s="127" t="s">
        <v>56</v>
      </c>
      <c r="C54" s="42">
        <v>746347.82000000111</v>
      </c>
      <c r="D54" s="42">
        <v>0</v>
      </c>
      <c r="E54" s="85">
        <v>-35822.9</v>
      </c>
      <c r="F54" s="42">
        <v>293163.08999999997</v>
      </c>
      <c r="G54" s="42">
        <v>36209798.600000001</v>
      </c>
      <c r="H54" s="126">
        <f t="shared" si="0"/>
        <v>36698806.230000004</v>
      </c>
    </row>
    <row r="55" spans="1:9" s="1" customFormat="1" ht="15" customHeight="1" x14ac:dyDescent="0.25">
      <c r="A55" s="122" t="s">
        <v>57</v>
      </c>
      <c r="B55" s="127" t="s">
        <v>58</v>
      </c>
      <c r="C55" s="42">
        <v>36401509.939999998</v>
      </c>
      <c r="D55" s="42">
        <v>0</v>
      </c>
      <c r="E55" s="42"/>
      <c r="F55" s="42">
        <v>28696922.010000005</v>
      </c>
      <c r="G55" s="42"/>
      <c r="H55" s="126">
        <f t="shared" si="0"/>
        <v>7704587.9299999923</v>
      </c>
    </row>
    <row r="56" spans="1:9" s="1" customFormat="1" ht="15" customHeight="1" x14ac:dyDescent="0.25">
      <c r="A56" s="122" t="s">
        <v>59</v>
      </c>
      <c r="B56" s="127" t="s">
        <v>60</v>
      </c>
      <c r="C56" s="42">
        <v>2175140.48</v>
      </c>
      <c r="D56" s="42">
        <v>0</v>
      </c>
      <c r="E56" s="42"/>
      <c r="F56" s="42">
        <v>0</v>
      </c>
      <c r="G56" s="42"/>
      <c r="H56" s="126">
        <f t="shared" si="0"/>
        <v>2175140.48</v>
      </c>
    </row>
    <row r="57" spans="1:9" s="1" customFormat="1" ht="15" customHeight="1" x14ac:dyDescent="0.25">
      <c r="A57" s="122" t="s">
        <v>61</v>
      </c>
      <c r="B57" s="127" t="s">
        <v>62</v>
      </c>
      <c r="C57" s="42">
        <v>0</v>
      </c>
      <c r="D57" s="42">
        <v>0</v>
      </c>
      <c r="E57" s="42"/>
      <c r="F57" s="42">
        <v>0</v>
      </c>
      <c r="G57" s="42"/>
      <c r="H57" s="126">
        <f t="shared" si="0"/>
        <v>0</v>
      </c>
    </row>
    <row r="58" spans="1:9" s="1" customFormat="1" ht="15" customHeight="1" thickBot="1" x14ac:dyDescent="0.3">
      <c r="A58" s="123" t="s">
        <v>63</v>
      </c>
      <c r="B58" s="132" t="s">
        <v>64</v>
      </c>
      <c r="C58" s="45">
        <v>-649873</v>
      </c>
      <c r="D58" s="45">
        <v>0</v>
      </c>
      <c r="E58" s="45"/>
      <c r="F58" s="45">
        <v>0</v>
      </c>
      <c r="G58" s="45"/>
      <c r="H58" s="126">
        <f t="shared" si="0"/>
        <v>-649873</v>
      </c>
    </row>
    <row r="59" spans="1:9" s="1" customFormat="1" ht="30" customHeight="1" thickBot="1" x14ac:dyDescent="0.3">
      <c r="A59" s="124" t="s">
        <v>65</v>
      </c>
      <c r="B59" s="46"/>
      <c r="C59" s="47">
        <f>SUM(C6:C58)</f>
        <v>133861097.59000003</v>
      </c>
      <c r="D59" s="47">
        <f>SUM(D6:D58)</f>
        <v>0</v>
      </c>
      <c r="E59" s="47">
        <f>SUM(E6:E58)</f>
        <v>4439359.6899999995</v>
      </c>
      <c r="F59" s="47">
        <f>SUM(F6:F58)</f>
        <v>48437421.070000015</v>
      </c>
      <c r="G59" s="47">
        <v>70437630.159999996</v>
      </c>
      <c r="H59" s="133">
        <f>SUM(H6:H58)</f>
        <v>151421979.98999998</v>
      </c>
    </row>
    <row r="60" spans="1:9" s="1" customFormat="1" ht="21.75" customHeight="1" x14ac:dyDescent="0.25">
      <c r="A60" s="48"/>
      <c r="B60" s="48"/>
      <c r="C60" s="48"/>
      <c r="D60" s="48"/>
      <c r="E60" s="49"/>
      <c r="F60" s="49"/>
      <c r="G60" s="49"/>
      <c r="H60" s="49"/>
    </row>
    <row r="61" spans="1:9" s="1" customFormat="1" ht="60.75" hidden="1" customHeight="1" x14ac:dyDescent="0.25">
      <c r="A61" s="48"/>
      <c r="B61" s="177" t="s">
        <v>71</v>
      </c>
      <c r="C61" s="177"/>
      <c r="D61" s="177"/>
      <c r="E61" s="177"/>
      <c r="F61" s="177"/>
      <c r="G61" s="177"/>
      <c r="H61" s="177"/>
    </row>
    <row r="62" spans="1:9" ht="17.25" hidden="1" x14ac:dyDescent="0.3">
      <c r="A62" s="35"/>
      <c r="B62" s="35"/>
      <c r="C62" s="50"/>
      <c r="D62" s="50"/>
      <c r="E62" s="36"/>
      <c r="F62" s="36"/>
      <c r="G62" s="37"/>
      <c r="H62" s="36"/>
    </row>
    <row r="63" spans="1:9" hidden="1" x14ac:dyDescent="0.25"/>
    <row r="64" spans="1:9" hidden="1" x14ac:dyDescent="0.25">
      <c r="E64" s="62"/>
      <c r="F64" s="51"/>
    </row>
    <row r="65" spans="5:8" hidden="1" x14ac:dyDescent="0.25">
      <c r="E65" s="62"/>
      <c r="F65" s="51"/>
    </row>
    <row r="66" spans="5:8" hidden="1" x14ac:dyDescent="0.25">
      <c r="E66" s="62"/>
      <c r="F66" s="51"/>
    </row>
    <row r="67" spans="5:8" hidden="1" x14ac:dyDescent="0.25">
      <c r="E67" s="62"/>
      <c r="F67" s="51"/>
    </row>
    <row r="68" spans="5:8" hidden="1" x14ac:dyDescent="0.25"/>
    <row r="70" spans="5:8" x14ac:dyDescent="0.25">
      <c r="E70" s="135"/>
      <c r="F70" s="135"/>
      <c r="G70" s="135"/>
      <c r="H70" s="134"/>
    </row>
    <row r="71" spans="5:8" x14ac:dyDescent="0.25">
      <c r="E71" s="136"/>
      <c r="F71" s="134"/>
      <c r="G71" s="134"/>
      <c r="H71" s="134"/>
    </row>
  </sheetData>
  <mergeCells count="9">
    <mergeCell ref="A4:A5"/>
    <mergeCell ref="B4:B5"/>
    <mergeCell ref="H4:H5"/>
    <mergeCell ref="D4:D5"/>
    <mergeCell ref="B61:H61"/>
    <mergeCell ref="C4:C5"/>
    <mergeCell ref="E4:E5"/>
    <mergeCell ref="F4:F5"/>
    <mergeCell ref="G4:G5"/>
  </mergeCells>
  <pageMargins left="0.70866141732283472" right="0.70866141732283472" top="0.78740157480314965" bottom="0.78740157480314965" header="0.31496062992125984" footer="0.31496062992125984"/>
  <pageSetup paperSize="8" scale="6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55"/>
  <sheetViews>
    <sheetView topLeftCell="A16" workbookViewId="0">
      <selection activeCell="I51" sqref="I51"/>
    </sheetView>
  </sheetViews>
  <sheetFormatPr defaultRowHeight="15" x14ac:dyDescent="0.25"/>
  <cols>
    <col min="1" max="1" width="11" customWidth="1"/>
    <col min="2" max="2" width="36.7109375" customWidth="1"/>
    <col min="3" max="3" width="21.5703125" customWidth="1"/>
    <col min="4" max="5" width="13.85546875" customWidth="1"/>
    <col min="6" max="6" width="20.42578125" customWidth="1"/>
    <col min="7" max="7" width="13.85546875" customWidth="1"/>
    <col min="8" max="8" width="20.42578125" customWidth="1"/>
    <col min="9" max="9" width="16.140625" customWidth="1"/>
    <col min="10" max="10" width="20.42578125" hidden="1" customWidth="1"/>
    <col min="11" max="11" width="9.140625" customWidth="1"/>
  </cols>
  <sheetData>
    <row r="1" spans="1:11" x14ac:dyDescent="0.25">
      <c r="C1" s="2"/>
      <c r="D1" s="2"/>
      <c r="E1" s="2"/>
      <c r="F1" s="2"/>
      <c r="G1" s="2"/>
    </row>
    <row r="2" spans="1:11" ht="33.75" x14ac:dyDescent="0.5">
      <c r="A2" s="8" t="s">
        <v>124</v>
      </c>
      <c r="C2" s="54"/>
      <c r="D2" s="8">
        <v>2018</v>
      </c>
      <c r="F2" s="55"/>
      <c r="H2" s="55"/>
      <c r="I2" s="2"/>
      <c r="J2" s="2"/>
      <c r="K2" s="2"/>
    </row>
    <row r="3" spans="1:11" ht="3.75" customHeight="1" thickBot="1" x14ac:dyDescent="0.55000000000000004">
      <c r="B3" s="8"/>
      <c r="C3" s="2"/>
      <c r="F3" s="55"/>
      <c r="H3" s="55"/>
      <c r="I3" s="2"/>
      <c r="J3" s="2"/>
      <c r="K3" s="2"/>
    </row>
    <row r="4" spans="1:11" ht="15" customHeight="1" x14ac:dyDescent="0.25">
      <c r="A4" s="186" t="s">
        <v>1</v>
      </c>
      <c r="B4" s="188" t="s">
        <v>2</v>
      </c>
      <c r="C4" s="163" t="s">
        <v>74</v>
      </c>
      <c r="D4" s="163" t="s">
        <v>75</v>
      </c>
      <c r="E4" s="163" t="s">
        <v>70</v>
      </c>
      <c r="F4" s="182" t="s">
        <v>77</v>
      </c>
      <c r="G4" s="182" t="s">
        <v>78</v>
      </c>
      <c r="H4" s="184" t="s">
        <v>79</v>
      </c>
      <c r="J4" s="161" t="s">
        <v>5</v>
      </c>
    </row>
    <row r="5" spans="1:11" ht="135.75" customHeight="1" thickBot="1" x14ac:dyDescent="0.3">
      <c r="A5" s="187"/>
      <c r="B5" s="189"/>
      <c r="C5" s="164"/>
      <c r="D5" s="164"/>
      <c r="E5" s="164"/>
      <c r="F5" s="183"/>
      <c r="G5" s="183" t="s">
        <v>76</v>
      </c>
      <c r="H5" s="185"/>
      <c r="J5" s="162" t="s">
        <v>8</v>
      </c>
    </row>
    <row r="6" spans="1:11" s="1" customFormat="1" ht="15" customHeight="1" x14ac:dyDescent="0.25">
      <c r="A6" s="142">
        <v>3110</v>
      </c>
      <c r="B6" s="143" t="s">
        <v>9</v>
      </c>
      <c r="C6" s="144">
        <v>642.95000000000005</v>
      </c>
      <c r="D6" s="144">
        <v>542.14</v>
      </c>
      <c r="E6" s="144">
        <v>0</v>
      </c>
      <c r="F6" s="144">
        <f t="shared" ref="F6:F51" si="0">C6+D6+E6</f>
        <v>1185.0900000000001</v>
      </c>
      <c r="G6" s="144"/>
      <c r="H6" s="145">
        <f>F6-G6</f>
        <v>1185.0900000000001</v>
      </c>
      <c r="I6" s="17"/>
      <c r="J6" s="18">
        <v>0</v>
      </c>
    </row>
    <row r="7" spans="1:11" s="1" customFormat="1" ht="15" customHeight="1" x14ac:dyDescent="0.25">
      <c r="A7" s="146">
        <v>3111</v>
      </c>
      <c r="B7" s="57" t="s">
        <v>10</v>
      </c>
      <c r="C7" s="86">
        <v>116262.62</v>
      </c>
      <c r="D7" s="86">
        <v>40982.49</v>
      </c>
      <c r="E7" s="86">
        <v>0</v>
      </c>
      <c r="F7" s="86">
        <f t="shared" si="0"/>
        <v>157245.10999999999</v>
      </c>
      <c r="G7" s="86"/>
      <c r="H7" s="114">
        <f t="shared" ref="H7:H51" si="1">F7-G7</f>
        <v>157245.10999999999</v>
      </c>
      <c r="I7" s="17"/>
      <c r="J7" s="21">
        <v>962630</v>
      </c>
    </row>
    <row r="8" spans="1:11" s="1" customFormat="1" ht="15" customHeight="1" x14ac:dyDescent="0.25">
      <c r="A8" s="146">
        <v>3112</v>
      </c>
      <c r="B8" s="57" t="s">
        <v>11</v>
      </c>
      <c r="C8" s="86">
        <v>26505.15</v>
      </c>
      <c r="D8" s="87">
        <v>-12430.05</v>
      </c>
      <c r="E8" s="87">
        <v>0</v>
      </c>
      <c r="F8" s="86">
        <f t="shared" si="0"/>
        <v>14075.100000000002</v>
      </c>
      <c r="G8" s="87"/>
      <c r="H8" s="114">
        <f t="shared" si="1"/>
        <v>14075.100000000002</v>
      </c>
      <c r="I8" s="17"/>
      <c r="J8" s="21">
        <v>90773</v>
      </c>
    </row>
    <row r="9" spans="1:11" s="1" customFormat="1" ht="15" customHeight="1" x14ac:dyDescent="0.25">
      <c r="A9" s="146">
        <v>3113</v>
      </c>
      <c r="B9" s="57" t="s">
        <v>12</v>
      </c>
      <c r="C9" s="86">
        <v>49369.46</v>
      </c>
      <c r="D9" s="87">
        <v>417.9</v>
      </c>
      <c r="E9" s="87">
        <v>0</v>
      </c>
      <c r="F9" s="86">
        <f t="shared" si="0"/>
        <v>49787.360000000001</v>
      </c>
      <c r="G9" s="87"/>
      <c r="H9" s="114">
        <f t="shared" si="1"/>
        <v>49787.360000000001</v>
      </c>
      <c r="I9" s="17"/>
      <c r="J9" s="21">
        <v>56734</v>
      </c>
    </row>
    <row r="10" spans="1:11" s="1" customFormat="1" ht="15" customHeight="1" x14ac:dyDescent="0.25">
      <c r="A10" s="146">
        <v>3120</v>
      </c>
      <c r="B10" s="56" t="s">
        <v>13</v>
      </c>
      <c r="C10" s="91">
        <v>19769.009999999998</v>
      </c>
      <c r="D10" s="91">
        <v>174.17</v>
      </c>
      <c r="E10" s="91">
        <v>-1875</v>
      </c>
      <c r="F10" s="91">
        <f t="shared" si="0"/>
        <v>18068.179999999997</v>
      </c>
      <c r="G10" s="91"/>
      <c r="H10" s="113">
        <f t="shared" si="1"/>
        <v>18068.179999999997</v>
      </c>
      <c r="I10" s="17"/>
      <c r="J10" s="18">
        <v>0</v>
      </c>
    </row>
    <row r="11" spans="1:11" s="1" customFormat="1" ht="15" customHeight="1" x14ac:dyDescent="0.25">
      <c r="A11" s="146">
        <v>3122</v>
      </c>
      <c r="B11" s="57" t="s">
        <v>14</v>
      </c>
      <c r="C11" s="86">
        <v>59654.62</v>
      </c>
      <c r="D11" s="87">
        <v>-60942.9</v>
      </c>
      <c r="E11" s="87">
        <f>31591.26+13478.76</f>
        <v>45070.02</v>
      </c>
      <c r="F11" s="86">
        <f t="shared" si="0"/>
        <v>43781.74</v>
      </c>
      <c r="G11" s="88"/>
      <c r="H11" s="114">
        <f t="shared" si="1"/>
        <v>43781.74</v>
      </c>
      <c r="I11" s="17"/>
      <c r="J11" s="21">
        <v>-115125.1</v>
      </c>
    </row>
    <row r="12" spans="1:11" s="1" customFormat="1" ht="15" customHeight="1" x14ac:dyDescent="0.25">
      <c r="A12" s="146">
        <v>3123</v>
      </c>
      <c r="B12" s="57" t="s">
        <v>15</v>
      </c>
      <c r="C12" s="86">
        <v>46828</v>
      </c>
      <c r="D12" s="86">
        <v>146115.09</v>
      </c>
      <c r="E12" s="87">
        <v>0</v>
      </c>
      <c r="F12" s="86">
        <f t="shared" si="0"/>
        <v>192943.09</v>
      </c>
      <c r="G12" s="86"/>
      <c r="H12" s="114">
        <f t="shared" si="1"/>
        <v>192943.09</v>
      </c>
      <c r="I12" s="17"/>
      <c r="J12" s="21">
        <v>873111.79</v>
      </c>
    </row>
    <row r="13" spans="1:11" s="1" customFormat="1" ht="15" customHeight="1" x14ac:dyDescent="0.25">
      <c r="A13" s="146">
        <v>3125</v>
      </c>
      <c r="B13" s="57" t="s">
        <v>16</v>
      </c>
      <c r="C13" s="86">
        <v>789831.12</v>
      </c>
      <c r="D13" s="86">
        <v>261853.35</v>
      </c>
      <c r="E13" s="87">
        <v>0</v>
      </c>
      <c r="F13" s="86">
        <f t="shared" si="0"/>
        <v>1051684.47</v>
      </c>
      <c r="G13" s="86"/>
      <c r="H13" s="114">
        <f t="shared" si="1"/>
        <v>1051684.47</v>
      </c>
      <c r="I13" s="17"/>
      <c r="J13" s="21">
        <v>215438.16000000003</v>
      </c>
    </row>
    <row r="14" spans="1:11" s="1" customFormat="1" ht="15" customHeight="1" x14ac:dyDescent="0.25">
      <c r="A14" s="146">
        <v>3127</v>
      </c>
      <c r="B14" s="57" t="s">
        <v>17</v>
      </c>
      <c r="C14" s="86">
        <v>18683.88</v>
      </c>
      <c r="D14" s="86">
        <v>54791.45</v>
      </c>
      <c r="E14" s="87">
        <v>0</v>
      </c>
      <c r="F14" s="86">
        <f t="shared" si="0"/>
        <v>73475.33</v>
      </c>
      <c r="G14" s="86"/>
      <c r="H14" s="114">
        <f t="shared" si="1"/>
        <v>73475.33</v>
      </c>
      <c r="I14" s="17"/>
      <c r="J14" s="21">
        <v>137087.26</v>
      </c>
    </row>
    <row r="15" spans="1:11" s="1" customFormat="1" ht="15" customHeight="1" x14ac:dyDescent="0.25">
      <c r="A15" s="146">
        <v>3130</v>
      </c>
      <c r="B15" s="56" t="s">
        <v>18</v>
      </c>
      <c r="C15" s="91">
        <v>398819.19</v>
      </c>
      <c r="D15" s="91">
        <v>145280.76</v>
      </c>
      <c r="E15" s="137">
        <v>0</v>
      </c>
      <c r="F15" s="91">
        <f t="shared" si="0"/>
        <v>544099.94999999995</v>
      </c>
      <c r="G15" s="91"/>
      <c r="H15" s="113">
        <f t="shared" si="1"/>
        <v>544099.94999999995</v>
      </c>
      <c r="I15" s="17"/>
      <c r="J15" s="18">
        <v>0</v>
      </c>
    </row>
    <row r="16" spans="1:11" s="1" customFormat="1" ht="15" customHeight="1" x14ac:dyDescent="0.25">
      <c r="A16" s="146">
        <v>3131</v>
      </c>
      <c r="B16" s="57" t="s">
        <v>19</v>
      </c>
      <c r="C16" s="86">
        <v>37620.199999999997</v>
      </c>
      <c r="D16" s="86">
        <v>12457.12</v>
      </c>
      <c r="E16" s="87">
        <v>0</v>
      </c>
      <c r="F16" s="86">
        <f t="shared" si="0"/>
        <v>50077.32</v>
      </c>
      <c r="G16" s="86"/>
      <c r="H16" s="114">
        <f t="shared" si="1"/>
        <v>50077.32</v>
      </c>
      <c r="I16" s="17"/>
      <c r="J16" s="21">
        <v>1047894.1000000002</v>
      </c>
    </row>
    <row r="17" spans="1:10" s="1" customFormat="1" ht="15" customHeight="1" x14ac:dyDescent="0.25">
      <c r="A17" s="146">
        <v>3132</v>
      </c>
      <c r="B17" s="57" t="s">
        <v>20</v>
      </c>
      <c r="C17" s="86">
        <v>405226.38</v>
      </c>
      <c r="D17" s="86">
        <v>31449.15</v>
      </c>
      <c r="E17" s="87">
        <v>0</v>
      </c>
      <c r="F17" s="86">
        <f t="shared" si="0"/>
        <v>436675.53</v>
      </c>
      <c r="G17" s="86"/>
      <c r="H17" s="114">
        <f t="shared" si="1"/>
        <v>436675.53</v>
      </c>
      <c r="I17" s="17"/>
      <c r="J17" s="21">
        <v>3983067.66</v>
      </c>
    </row>
    <row r="18" spans="1:10" s="1" customFormat="1" ht="15" customHeight="1" x14ac:dyDescent="0.25">
      <c r="A18" s="146">
        <v>3133</v>
      </c>
      <c r="B18" s="57" t="s">
        <v>21</v>
      </c>
      <c r="C18" s="86">
        <v>144893.07</v>
      </c>
      <c r="D18" s="86">
        <v>18971.45</v>
      </c>
      <c r="E18" s="87">
        <v>0</v>
      </c>
      <c r="F18" s="86">
        <f t="shared" si="0"/>
        <v>163864.52000000002</v>
      </c>
      <c r="G18" s="86"/>
      <c r="H18" s="114">
        <f t="shared" si="1"/>
        <v>163864.52000000002</v>
      </c>
      <c r="I18" s="17"/>
      <c r="J18" s="21">
        <v>404047.38</v>
      </c>
    </row>
    <row r="19" spans="1:10" s="1" customFormat="1" ht="15" customHeight="1" x14ac:dyDescent="0.25">
      <c r="A19" s="146">
        <v>3134</v>
      </c>
      <c r="B19" s="57" t="s">
        <v>22</v>
      </c>
      <c r="C19" s="86">
        <v>0</v>
      </c>
      <c r="D19" s="86">
        <v>142910.21</v>
      </c>
      <c r="E19" s="87">
        <v>0</v>
      </c>
      <c r="F19" s="86">
        <f t="shared" si="0"/>
        <v>142910.21</v>
      </c>
      <c r="G19" s="86"/>
      <c r="H19" s="114">
        <f t="shared" si="1"/>
        <v>142910.21</v>
      </c>
      <c r="I19" s="17"/>
      <c r="J19" s="21">
        <v>1172204.81</v>
      </c>
    </row>
    <row r="20" spans="1:10" s="1" customFormat="1" ht="15" customHeight="1" x14ac:dyDescent="0.25">
      <c r="A20" s="146">
        <v>3135</v>
      </c>
      <c r="B20" s="57" t="s">
        <v>23</v>
      </c>
      <c r="C20" s="86">
        <v>33063.21</v>
      </c>
      <c r="D20" s="86">
        <v>4625.21</v>
      </c>
      <c r="E20" s="87">
        <v>0</v>
      </c>
      <c r="F20" s="86">
        <f t="shared" si="0"/>
        <v>37688.42</v>
      </c>
      <c r="G20" s="86"/>
      <c r="H20" s="114">
        <f t="shared" si="1"/>
        <v>37688.42</v>
      </c>
      <c r="I20" s="17"/>
      <c r="J20" s="21">
        <v>430136.30000000005</v>
      </c>
    </row>
    <row r="21" spans="1:10" s="1" customFormat="1" ht="15" customHeight="1" x14ac:dyDescent="0.25">
      <c r="A21" s="146">
        <v>3140</v>
      </c>
      <c r="B21" s="56" t="s">
        <v>24</v>
      </c>
      <c r="C21" s="91">
        <v>4.45</v>
      </c>
      <c r="D21" s="91">
        <v>0</v>
      </c>
      <c r="E21" s="137">
        <v>0</v>
      </c>
      <c r="F21" s="91">
        <f t="shared" si="0"/>
        <v>4.45</v>
      </c>
      <c r="G21" s="91"/>
      <c r="H21" s="113">
        <f t="shared" si="1"/>
        <v>4.45</v>
      </c>
      <c r="I21" s="17"/>
      <c r="J21" s="18">
        <v>0</v>
      </c>
    </row>
    <row r="22" spans="1:10" s="1" customFormat="1" ht="15" customHeight="1" x14ac:dyDescent="0.25">
      <c r="A22" s="146">
        <v>3141</v>
      </c>
      <c r="B22" s="57" t="s">
        <v>25</v>
      </c>
      <c r="C22" s="86">
        <v>193680.43</v>
      </c>
      <c r="D22" s="86">
        <v>846890.82</v>
      </c>
      <c r="E22" s="87">
        <v>-13478.76</v>
      </c>
      <c r="F22" s="86">
        <f t="shared" si="0"/>
        <v>1027092.49</v>
      </c>
      <c r="G22" s="87">
        <v>85038.61</v>
      </c>
      <c r="H22" s="114">
        <f t="shared" si="1"/>
        <v>942053.88</v>
      </c>
      <c r="I22" s="17"/>
      <c r="J22" s="21">
        <v>296003</v>
      </c>
    </row>
    <row r="23" spans="1:10" s="1" customFormat="1" ht="15" customHeight="1" x14ac:dyDescent="0.25">
      <c r="A23" s="146">
        <v>3142</v>
      </c>
      <c r="B23" s="57" t="s">
        <v>26</v>
      </c>
      <c r="C23" s="86">
        <v>284636.57</v>
      </c>
      <c r="D23" s="86">
        <v>196984</v>
      </c>
      <c r="E23" s="87">
        <v>0</v>
      </c>
      <c r="F23" s="86">
        <f t="shared" si="0"/>
        <v>481620.57</v>
      </c>
      <c r="G23" s="86"/>
      <c r="H23" s="114">
        <f t="shared" si="1"/>
        <v>481620.57</v>
      </c>
      <c r="I23" s="17"/>
      <c r="J23" s="21">
        <v>148062</v>
      </c>
    </row>
    <row r="24" spans="1:10" s="1" customFormat="1" ht="15" customHeight="1" x14ac:dyDescent="0.25">
      <c r="A24" s="146">
        <v>3143</v>
      </c>
      <c r="B24" s="57" t="s">
        <v>27</v>
      </c>
      <c r="C24" s="86">
        <v>27707.58</v>
      </c>
      <c r="D24" s="86">
        <v>47765.36</v>
      </c>
      <c r="E24" s="87">
        <v>0</v>
      </c>
      <c r="F24" s="86">
        <f t="shared" si="0"/>
        <v>75472.94</v>
      </c>
      <c r="G24" s="86"/>
      <c r="H24" s="114">
        <f t="shared" si="1"/>
        <v>75472.94</v>
      </c>
      <c r="I24" s="17"/>
      <c r="J24" s="21">
        <v>1098131.6200000001</v>
      </c>
    </row>
    <row r="25" spans="1:10" s="1" customFormat="1" ht="15" customHeight="1" x14ac:dyDescent="0.25">
      <c r="A25" s="146">
        <v>3144</v>
      </c>
      <c r="B25" s="57" t="s">
        <v>28</v>
      </c>
      <c r="C25" s="86">
        <v>61381.22</v>
      </c>
      <c r="D25" s="86">
        <v>14119.59</v>
      </c>
      <c r="E25" s="87">
        <v>0</v>
      </c>
      <c r="F25" s="86">
        <f t="shared" si="0"/>
        <v>75500.81</v>
      </c>
      <c r="G25" s="86"/>
      <c r="H25" s="114">
        <f t="shared" si="1"/>
        <v>75500.81</v>
      </c>
      <c r="I25" s="17"/>
      <c r="J25" s="21">
        <v>159952</v>
      </c>
    </row>
    <row r="26" spans="1:10" s="1" customFormat="1" ht="15" customHeight="1" x14ac:dyDescent="0.25">
      <c r="A26" s="146">
        <v>3145</v>
      </c>
      <c r="B26" s="57" t="s">
        <v>29</v>
      </c>
      <c r="C26" s="86">
        <v>286606.81</v>
      </c>
      <c r="D26" s="86">
        <v>56462.46</v>
      </c>
      <c r="E26" s="87">
        <v>0</v>
      </c>
      <c r="F26" s="86">
        <f t="shared" si="0"/>
        <v>343069.27</v>
      </c>
      <c r="G26" s="86"/>
      <c r="H26" s="114">
        <f t="shared" si="1"/>
        <v>343069.27</v>
      </c>
      <c r="I26" s="17"/>
      <c r="J26" s="21">
        <v>1571250.4700000002</v>
      </c>
    </row>
    <row r="27" spans="1:10" s="1" customFormat="1" ht="15" customHeight="1" x14ac:dyDescent="0.25">
      <c r="A27" s="146">
        <v>3150</v>
      </c>
      <c r="B27" s="56" t="s">
        <v>30</v>
      </c>
      <c r="C27" s="91">
        <v>0</v>
      </c>
      <c r="D27" s="91">
        <v>0</v>
      </c>
      <c r="E27" s="137">
        <v>0</v>
      </c>
      <c r="F27" s="91">
        <f t="shared" si="0"/>
        <v>0</v>
      </c>
      <c r="G27" s="91"/>
      <c r="H27" s="113">
        <f t="shared" si="1"/>
        <v>0</v>
      </c>
      <c r="I27" s="17"/>
      <c r="J27" s="18">
        <v>0</v>
      </c>
    </row>
    <row r="28" spans="1:10" s="1" customFormat="1" ht="15" customHeight="1" x14ac:dyDescent="0.25">
      <c r="A28" s="146">
        <v>3151</v>
      </c>
      <c r="B28" s="57" t="s">
        <v>31</v>
      </c>
      <c r="C28" s="86">
        <v>9960.2900000000009</v>
      </c>
      <c r="D28" s="86">
        <v>376871.39</v>
      </c>
      <c r="E28" s="87">
        <v>-31591.26</v>
      </c>
      <c r="F28" s="86">
        <f t="shared" si="0"/>
        <v>355240.42</v>
      </c>
      <c r="G28" s="87">
        <f>75240+83450</f>
        <v>158690</v>
      </c>
      <c r="H28" s="114">
        <f t="shared" si="1"/>
        <v>196550.41999999998</v>
      </c>
      <c r="I28" s="17"/>
      <c r="J28" s="21">
        <v>173667</v>
      </c>
    </row>
    <row r="29" spans="1:10" s="1" customFormat="1" ht="15" customHeight="1" x14ac:dyDescent="0.25">
      <c r="A29" s="146">
        <v>3152</v>
      </c>
      <c r="B29" s="57" t="s">
        <v>32</v>
      </c>
      <c r="C29" s="86">
        <v>36931.019999999997</v>
      </c>
      <c r="D29" s="86">
        <v>50733.24</v>
      </c>
      <c r="E29" s="87">
        <v>0</v>
      </c>
      <c r="F29" s="86">
        <f t="shared" si="0"/>
        <v>87664.26</v>
      </c>
      <c r="G29" s="86"/>
      <c r="H29" s="114">
        <f t="shared" si="1"/>
        <v>87664.26</v>
      </c>
      <c r="I29" s="17"/>
      <c r="J29" s="21">
        <v>387786.93999999994</v>
      </c>
    </row>
    <row r="30" spans="1:10" s="1" customFormat="1" ht="15" customHeight="1" x14ac:dyDescent="0.25">
      <c r="A30" s="146">
        <v>3153</v>
      </c>
      <c r="B30" s="57" t="s">
        <v>33</v>
      </c>
      <c r="C30" s="86">
        <v>18112.330000000002</v>
      </c>
      <c r="D30" s="86">
        <v>59843.16</v>
      </c>
      <c r="E30" s="87">
        <v>0</v>
      </c>
      <c r="F30" s="86">
        <f t="shared" si="0"/>
        <v>77955.490000000005</v>
      </c>
      <c r="G30" s="86"/>
      <c r="H30" s="114">
        <f t="shared" si="1"/>
        <v>77955.490000000005</v>
      </c>
      <c r="I30" s="23"/>
      <c r="J30" s="21">
        <v>17676</v>
      </c>
    </row>
    <row r="31" spans="1:10" s="1" customFormat="1" ht="15" customHeight="1" x14ac:dyDescent="0.25">
      <c r="A31" s="146">
        <v>3154</v>
      </c>
      <c r="B31" s="57" t="s">
        <v>34</v>
      </c>
      <c r="C31" s="86">
        <v>453.74</v>
      </c>
      <c r="D31" s="87">
        <v>-509883.83</v>
      </c>
      <c r="E31" s="87">
        <v>509883.83</v>
      </c>
      <c r="F31" s="86">
        <f t="shared" si="0"/>
        <v>453.73999999999069</v>
      </c>
      <c r="G31" s="88"/>
      <c r="H31" s="114">
        <f t="shared" si="1"/>
        <v>453.73999999999069</v>
      </c>
      <c r="I31" s="23"/>
      <c r="J31" s="21">
        <v>0</v>
      </c>
    </row>
    <row r="32" spans="1:10" s="1" customFormat="1" ht="15" customHeight="1" x14ac:dyDescent="0.25">
      <c r="A32" s="146">
        <v>3137</v>
      </c>
      <c r="B32" s="58" t="s">
        <v>35</v>
      </c>
      <c r="C32" s="91">
        <v>735425.01</v>
      </c>
      <c r="D32" s="91">
        <v>456766.17</v>
      </c>
      <c r="E32" s="137">
        <f>-273827.83-281616.5</f>
        <v>-555444.33000000007</v>
      </c>
      <c r="F32" s="91">
        <f t="shared" si="0"/>
        <v>636746.84999999986</v>
      </c>
      <c r="G32" s="91">
        <v>273137.78000000003</v>
      </c>
      <c r="H32" s="113">
        <f t="shared" si="1"/>
        <v>363609.06999999983</v>
      </c>
      <c r="I32" s="23"/>
      <c r="J32" s="18">
        <v>719375</v>
      </c>
    </row>
    <row r="33" spans="1:10" s="1" customFormat="1" ht="15" customHeight="1" x14ac:dyDescent="0.25">
      <c r="A33" s="146">
        <v>3701</v>
      </c>
      <c r="B33" s="57" t="s">
        <v>36</v>
      </c>
      <c r="C33" s="87">
        <v>0</v>
      </c>
      <c r="D33" s="87">
        <v>932.36</v>
      </c>
      <c r="E33" s="87">
        <v>0</v>
      </c>
      <c r="F33" s="86">
        <f t="shared" si="0"/>
        <v>932.36</v>
      </c>
      <c r="G33" s="87"/>
      <c r="H33" s="114">
        <f t="shared" si="1"/>
        <v>932.36</v>
      </c>
      <c r="I33" s="23"/>
      <c r="J33" s="25">
        <v>43795.170000000013</v>
      </c>
    </row>
    <row r="34" spans="1:10" s="1" customFormat="1" ht="15" customHeight="1" x14ac:dyDescent="0.25">
      <c r="A34" s="146">
        <v>3702</v>
      </c>
      <c r="B34" s="57" t="s">
        <v>37</v>
      </c>
      <c r="C34" s="86">
        <v>23714.83</v>
      </c>
      <c r="D34" s="87">
        <v>-1061964.23</v>
      </c>
      <c r="E34" s="87">
        <v>1061964.23</v>
      </c>
      <c r="F34" s="86">
        <f t="shared" si="0"/>
        <v>23714.829999999958</v>
      </c>
      <c r="G34" s="88"/>
      <c r="H34" s="114">
        <f t="shared" si="1"/>
        <v>23714.829999999958</v>
      </c>
      <c r="I34" s="23"/>
      <c r="J34" s="21">
        <v>2013991.2799999996</v>
      </c>
    </row>
    <row r="35" spans="1:10" s="1" customFormat="1" ht="15" customHeight="1" x14ac:dyDescent="0.25">
      <c r="A35" s="146">
        <v>3703</v>
      </c>
      <c r="B35" s="57" t="s">
        <v>38</v>
      </c>
      <c r="C35" s="86">
        <v>-172831.67</v>
      </c>
      <c r="D35" s="87">
        <v>-281616.5</v>
      </c>
      <c r="E35" s="87">
        <v>281616.5</v>
      </c>
      <c r="F35" s="86">
        <f t="shared" si="0"/>
        <v>-172831.67000000004</v>
      </c>
      <c r="G35" s="88"/>
      <c r="H35" s="114">
        <f t="shared" si="1"/>
        <v>-172831.67000000004</v>
      </c>
      <c r="I35" s="23"/>
      <c r="J35" s="21">
        <v>412364.37999999989</v>
      </c>
    </row>
    <row r="36" spans="1:10" s="1" customFormat="1" ht="15" customHeight="1" x14ac:dyDescent="0.25">
      <c r="A36" s="146">
        <v>3704</v>
      </c>
      <c r="B36" s="57" t="s">
        <v>39</v>
      </c>
      <c r="C36" s="86">
        <v>33973.97</v>
      </c>
      <c r="D36" s="86">
        <v>25158.43</v>
      </c>
      <c r="E36" s="87">
        <v>0</v>
      </c>
      <c r="F36" s="86">
        <f t="shared" si="0"/>
        <v>59132.4</v>
      </c>
      <c r="G36" s="86"/>
      <c r="H36" s="114">
        <f t="shared" si="1"/>
        <v>59132.4</v>
      </c>
      <c r="I36" s="23"/>
      <c r="J36" s="21">
        <v>1367634.5499999998</v>
      </c>
    </row>
    <row r="37" spans="1:10" s="1" customFormat="1" ht="15" customHeight="1" x14ac:dyDescent="0.25">
      <c r="A37" s="146">
        <v>3705</v>
      </c>
      <c r="B37" s="57" t="s">
        <v>40</v>
      </c>
      <c r="C37" s="86">
        <v>134715.19</v>
      </c>
      <c r="D37" s="87">
        <v>-22611.72</v>
      </c>
      <c r="E37" s="87">
        <v>0</v>
      </c>
      <c r="F37" s="86">
        <f t="shared" si="0"/>
        <v>112103.47</v>
      </c>
      <c r="G37" s="87"/>
      <c r="H37" s="114">
        <f t="shared" si="1"/>
        <v>112103.47</v>
      </c>
      <c r="I37" s="23"/>
      <c r="J37" s="21">
        <v>1436619.0000000009</v>
      </c>
    </row>
    <row r="38" spans="1:10" s="1" customFormat="1" ht="15" customHeight="1" x14ac:dyDescent="0.25">
      <c r="A38" s="146">
        <v>3706</v>
      </c>
      <c r="B38" s="57" t="s">
        <v>41</v>
      </c>
      <c r="C38" s="86">
        <v>39020.589999999997</v>
      </c>
      <c r="D38" s="87">
        <v>73513.05</v>
      </c>
      <c r="E38" s="87">
        <v>0</v>
      </c>
      <c r="F38" s="86">
        <f t="shared" si="0"/>
        <v>112533.64</v>
      </c>
      <c r="G38" s="86"/>
      <c r="H38" s="114">
        <f t="shared" si="1"/>
        <v>112533.64</v>
      </c>
      <c r="I38" s="23"/>
      <c r="J38" s="21">
        <v>78492.98000000001</v>
      </c>
    </row>
    <row r="39" spans="1:10" s="1" customFormat="1" ht="15.75" hidden="1" x14ac:dyDescent="0.25">
      <c r="A39" s="146">
        <v>3707</v>
      </c>
      <c r="B39" s="59" t="s">
        <v>42</v>
      </c>
      <c r="C39" s="86"/>
      <c r="D39" s="87"/>
      <c r="E39" s="87"/>
      <c r="F39" s="86">
        <f t="shared" si="0"/>
        <v>0</v>
      </c>
      <c r="G39" s="86"/>
      <c r="H39" s="114">
        <f t="shared" si="1"/>
        <v>0</v>
      </c>
      <c r="I39" s="23"/>
      <c r="J39" s="21">
        <v>0</v>
      </c>
    </row>
    <row r="40" spans="1:10" s="1" customFormat="1" ht="15" hidden="1" customHeight="1" x14ac:dyDescent="0.25">
      <c r="A40" s="146">
        <v>3708</v>
      </c>
      <c r="B40" s="59" t="s">
        <v>42</v>
      </c>
      <c r="C40" s="86"/>
      <c r="D40" s="89"/>
      <c r="E40" s="89"/>
      <c r="F40" s="86">
        <f t="shared" si="0"/>
        <v>0</v>
      </c>
      <c r="G40" s="90"/>
      <c r="H40" s="114">
        <f t="shared" si="1"/>
        <v>0</v>
      </c>
      <c r="I40" s="23"/>
      <c r="J40" s="18">
        <v>-1973151.1300000001</v>
      </c>
    </row>
    <row r="41" spans="1:10" s="1" customFormat="1" ht="15" customHeight="1" x14ac:dyDescent="0.25">
      <c r="A41" s="146">
        <v>3720</v>
      </c>
      <c r="B41" s="58" t="s">
        <v>43</v>
      </c>
      <c r="C41" s="91">
        <v>5432137.54</v>
      </c>
      <c r="D41" s="91">
        <v>-875884.5</v>
      </c>
      <c r="E41" s="137">
        <f>875884.5-142411-447672-130002</f>
        <v>155799.5</v>
      </c>
      <c r="F41" s="91">
        <f t="shared" si="0"/>
        <v>4712052.54</v>
      </c>
      <c r="G41" s="91">
        <v>1973151.13</v>
      </c>
      <c r="H41" s="113">
        <f t="shared" si="1"/>
        <v>2738901.41</v>
      </c>
      <c r="I41" s="23"/>
      <c r="J41" s="21">
        <v>1158656</v>
      </c>
    </row>
    <row r="42" spans="1:10" s="1" customFormat="1" ht="15" customHeight="1" x14ac:dyDescent="0.25">
      <c r="A42" s="146">
        <v>3721</v>
      </c>
      <c r="B42" s="57" t="s">
        <v>44</v>
      </c>
      <c r="C42" s="86">
        <v>606947.15</v>
      </c>
      <c r="D42" s="87">
        <v>2091240.51</v>
      </c>
      <c r="E42" s="87">
        <f>-875884.5-1061964.23</f>
        <v>-1937848.73</v>
      </c>
      <c r="F42" s="86">
        <f t="shared" si="0"/>
        <v>760338.93000000017</v>
      </c>
      <c r="G42" s="88"/>
      <c r="H42" s="114">
        <f t="shared" si="1"/>
        <v>760338.93000000017</v>
      </c>
      <c r="I42" s="23"/>
      <c r="J42" s="21">
        <v>44522.25</v>
      </c>
    </row>
    <row r="43" spans="1:10" s="1" customFormat="1" ht="15" customHeight="1" x14ac:dyDescent="0.25">
      <c r="A43" s="146">
        <v>3722</v>
      </c>
      <c r="B43" s="57" t="s">
        <v>45</v>
      </c>
      <c r="C43" s="86">
        <v>3947859.4</v>
      </c>
      <c r="D43" s="86">
        <v>180485.8</v>
      </c>
      <c r="E43" s="87">
        <v>0</v>
      </c>
      <c r="F43" s="86">
        <f t="shared" si="0"/>
        <v>4128345.1999999997</v>
      </c>
      <c r="G43" s="86">
        <v>279347.86</v>
      </c>
      <c r="H43" s="114">
        <f t="shared" si="1"/>
        <v>3848997.34</v>
      </c>
      <c r="I43" s="23"/>
      <c r="J43" s="21">
        <v>809581.79999999993</v>
      </c>
    </row>
    <row r="44" spans="1:10" s="1" customFormat="1" ht="15" customHeight="1" x14ac:dyDescent="0.25">
      <c r="A44" s="146">
        <v>3723</v>
      </c>
      <c r="B44" s="57" t="s">
        <v>46</v>
      </c>
      <c r="C44" s="86">
        <v>2275683.2599999998</v>
      </c>
      <c r="D44" s="86">
        <v>275084.63</v>
      </c>
      <c r="E44" s="87">
        <v>130002</v>
      </c>
      <c r="F44" s="86">
        <f t="shared" si="0"/>
        <v>2680769.8899999997</v>
      </c>
      <c r="G44" s="88"/>
      <c r="H44" s="114">
        <f t="shared" si="1"/>
        <v>2680769.8899999997</v>
      </c>
      <c r="I44" s="23"/>
      <c r="J44" s="21">
        <v>578914.10000000009</v>
      </c>
    </row>
    <row r="45" spans="1:10" s="1" customFormat="1" ht="15" customHeight="1" x14ac:dyDescent="0.25">
      <c r="A45" s="146">
        <v>3724</v>
      </c>
      <c r="B45" s="57" t="s">
        <v>47</v>
      </c>
      <c r="C45" s="86">
        <v>7801154.54</v>
      </c>
      <c r="D45" s="87">
        <v>1074231.3999999999</v>
      </c>
      <c r="E45" s="87">
        <v>-509883.83</v>
      </c>
      <c r="F45" s="86">
        <f t="shared" si="0"/>
        <v>8365502.1099999994</v>
      </c>
      <c r="G45" s="88"/>
      <c r="H45" s="114">
        <f t="shared" si="1"/>
        <v>8365502.1099999994</v>
      </c>
      <c r="I45" s="23"/>
      <c r="J45" s="21">
        <v>149852</v>
      </c>
    </row>
    <row r="46" spans="1:10" s="1" customFormat="1" ht="15" customHeight="1" x14ac:dyDescent="0.25">
      <c r="A46" s="146">
        <v>3725</v>
      </c>
      <c r="B46" s="57" t="s">
        <v>48</v>
      </c>
      <c r="C46" s="86">
        <v>3.35</v>
      </c>
      <c r="D46" s="87">
        <v>-223381.58</v>
      </c>
      <c r="E46" s="87">
        <f>223381.58+447672</f>
        <v>671053.57999999996</v>
      </c>
      <c r="F46" s="86">
        <f t="shared" si="0"/>
        <v>447675.35</v>
      </c>
      <c r="G46" s="88"/>
      <c r="H46" s="114">
        <f t="shared" si="1"/>
        <v>447675.35</v>
      </c>
      <c r="I46" s="23"/>
      <c r="J46" s="21">
        <v>73275.469999999972</v>
      </c>
    </row>
    <row r="47" spans="1:10" s="1" customFormat="1" ht="15" customHeight="1" x14ac:dyDescent="0.25">
      <c r="A47" s="146">
        <v>3726</v>
      </c>
      <c r="B47" s="57" t="s">
        <v>49</v>
      </c>
      <c r="C47" s="86">
        <v>2915293.47</v>
      </c>
      <c r="D47" s="86">
        <v>3919040.94</v>
      </c>
      <c r="E47" s="87">
        <v>142411</v>
      </c>
      <c r="F47" s="86">
        <f t="shared" si="0"/>
        <v>6976745.4100000001</v>
      </c>
      <c r="G47" s="88"/>
      <c r="H47" s="114">
        <f t="shared" si="1"/>
        <v>6976745.4100000001</v>
      </c>
      <c r="I47" s="23"/>
      <c r="J47" s="21">
        <v>141276</v>
      </c>
    </row>
    <row r="48" spans="1:10" s="1" customFormat="1" ht="15" customHeight="1" x14ac:dyDescent="0.25">
      <c r="A48" s="146">
        <v>3727</v>
      </c>
      <c r="B48" s="57" t="s">
        <v>50</v>
      </c>
      <c r="C48" s="86">
        <v>292754.17</v>
      </c>
      <c r="D48" s="86">
        <v>234252.34</v>
      </c>
      <c r="E48" s="87">
        <v>-223381.58</v>
      </c>
      <c r="F48" s="86">
        <f t="shared" si="0"/>
        <v>303624.93000000005</v>
      </c>
      <c r="G48" s="88"/>
      <c r="H48" s="114">
        <f t="shared" si="1"/>
        <v>303624.93000000005</v>
      </c>
      <c r="I48" s="23"/>
      <c r="J48" s="21">
        <v>2</v>
      </c>
    </row>
    <row r="49" spans="1:10" s="1" customFormat="1" ht="15.75" x14ac:dyDescent="0.25">
      <c r="A49" s="146">
        <v>3728</v>
      </c>
      <c r="B49" s="57" t="s">
        <v>51</v>
      </c>
      <c r="C49" s="86">
        <v>0</v>
      </c>
      <c r="D49" s="86">
        <v>38103.129999999997</v>
      </c>
      <c r="E49" s="87">
        <v>0</v>
      </c>
      <c r="F49" s="86">
        <f t="shared" si="0"/>
        <v>38103.129999999997</v>
      </c>
      <c r="G49" s="86"/>
      <c r="H49" s="114">
        <f t="shared" si="1"/>
        <v>38103.129999999997</v>
      </c>
      <c r="I49" s="60">
        <f>SUM(H6:H49)</f>
        <v>31917759.850000001</v>
      </c>
      <c r="J49" s="21"/>
    </row>
    <row r="50" spans="1:10" s="1" customFormat="1" ht="15.75" x14ac:dyDescent="0.25">
      <c r="A50" s="146" t="s">
        <v>80</v>
      </c>
      <c r="B50" s="58" t="s">
        <v>81</v>
      </c>
      <c r="C50" s="91">
        <v>46598</v>
      </c>
      <c r="D50" s="91">
        <v>125337</v>
      </c>
      <c r="E50" s="137">
        <v>0</v>
      </c>
      <c r="F50" s="91">
        <f t="shared" si="0"/>
        <v>171935</v>
      </c>
      <c r="G50" s="91"/>
      <c r="H50" s="113">
        <f t="shared" si="1"/>
        <v>171935</v>
      </c>
      <c r="I50" s="23"/>
      <c r="J50" s="21"/>
    </row>
    <row r="51" spans="1:10" s="1" customFormat="1" ht="15" customHeight="1" thickBot="1" x14ac:dyDescent="0.3">
      <c r="A51" s="147">
        <v>3900</v>
      </c>
      <c r="B51" s="148" t="s">
        <v>82</v>
      </c>
      <c r="C51" s="149">
        <v>3689548.09</v>
      </c>
      <c r="D51" s="149">
        <v>396939.31</v>
      </c>
      <c r="E51" s="150">
        <f>1875+273827.83</f>
        <v>275702.83</v>
      </c>
      <c r="F51" s="149">
        <f t="shared" si="0"/>
        <v>4362190.2299999995</v>
      </c>
      <c r="G51" s="150">
        <f>-36000+50000</f>
        <v>14000</v>
      </c>
      <c r="H51" s="151">
        <f t="shared" si="1"/>
        <v>4348190.2299999995</v>
      </c>
      <c r="I51" s="17">
        <f>SUM(F50:F51)</f>
        <v>4534125.2299999995</v>
      </c>
      <c r="J51" s="21">
        <v>-5390475.3000000007</v>
      </c>
    </row>
    <row r="52" spans="1:10" s="1" customFormat="1" ht="30" customHeight="1" thickBot="1" x14ac:dyDescent="0.3">
      <c r="A52" s="138" t="s">
        <v>65</v>
      </c>
      <c r="B52" s="139"/>
      <c r="C52" s="140">
        <f t="shared" ref="C52:H52" si="2">SUM(C6:C51)</f>
        <v>30868640.190000005</v>
      </c>
      <c r="D52" s="140">
        <f t="shared" si="2"/>
        <v>8352610.2699999996</v>
      </c>
      <c r="E52" s="140">
        <f t="shared" si="2"/>
        <v>0</v>
      </c>
      <c r="F52" s="140">
        <f t="shared" si="2"/>
        <v>39221250.460000001</v>
      </c>
      <c r="G52" s="140">
        <f t="shared" si="2"/>
        <v>2783365.38</v>
      </c>
      <c r="H52" s="141">
        <f t="shared" si="2"/>
        <v>36437885.079999998</v>
      </c>
      <c r="I52" s="23"/>
    </row>
    <row r="53" spans="1:10" s="1" customFormat="1" ht="21.75" customHeight="1" x14ac:dyDescent="0.25">
      <c r="A53" s="48"/>
      <c r="B53" s="48"/>
      <c r="C53" s="49"/>
      <c r="D53" s="61"/>
      <c r="E53" s="61"/>
      <c r="F53" s="49"/>
      <c r="G53" s="61"/>
      <c r="H53" s="49">
        <f>F52-G52</f>
        <v>36437885.079999998</v>
      </c>
      <c r="I53" s="23"/>
    </row>
    <row r="54" spans="1:10" x14ac:dyDescent="0.25">
      <c r="F54" s="40"/>
      <c r="H54" s="40"/>
    </row>
    <row r="55" spans="1:10" x14ac:dyDescent="0.25">
      <c r="F55" s="51">
        <f>SUM(F6:F49)</f>
        <v>34687125.230000004</v>
      </c>
    </row>
  </sheetData>
  <mergeCells count="9">
    <mergeCell ref="F4:F5"/>
    <mergeCell ref="G4:G5"/>
    <mergeCell ref="H4:H5"/>
    <mergeCell ref="J4:J5"/>
    <mergeCell ref="A4:A5"/>
    <mergeCell ref="B4:B5"/>
    <mergeCell ref="C4:C5"/>
    <mergeCell ref="D4:D5"/>
    <mergeCell ref="E4:E5"/>
  </mergeCells>
  <pageMargins left="0.70866141732283472" right="0.70866141732283472" top="0.78740157480314965" bottom="0.78740157480314965" header="0.31496062992125984" footer="0.31496062992125984"/>
  <pageSetup paperSize="8" scale="7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FRIM</vt:lpstr>
      <vt:lpstr>FPP</vt:lpstr>
      <vt:lpstr>FPP HV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Lenka Káňová</dc:creator>
  <cp:lastModifiedBy>Ing. Lenka Káňová</cp:lastModifiedBy>
  <cp:lastPrinted>2019-03-14T11:55:56Z</cp:lastPrinted>
  <dcterms:created xsi:type="dcterms:W3CDTF">2018-07-23T08:23:15Z</dcterms:created>
  <dcterms:modified xsi:type="dcterms:W3CDTF">2019-03-22T08:28:03Z</dcterms:modified>
</cp:coreProperties>
</file>