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Home\kanoval\záloha\TAJEMNÍK\Rozpočty\2019\PřF\Zprávy o hospodaření\Zpráva o hospodaření 2019\hospodareni_prilohy_2019\"/>
    </mc:Choice>
  </mc:AlternateContent>
  <bookViews>
    <workbookView xWindow="0" yWindow="0" windowWidth="28800" windowHeight="12000" activeTab="1"/>
  </bookViews>
  <sheets>
    <sheet name="FRIM - 80, 81" sheetId="1" r:id="rId1"/>
    <sheet name=" FPP - 82" sheetId="2" r:id="rId2"/>
    <sheet name="FPP HV - 82" sheetId="3" r:id="rId3"/>
  </sheets>
  <calcPr calcId="162913"/>
</workbook>
</file>

<file path=xl/calcChain.xml><?xml version="1.0" encoding="utf-8"?>
<calcChain xmlns="http://schemas.openxmlformats.org/spreadsheetml/2006/main">
  <c r="I61" i="2" l="1"/>
  <c r="I63" i="2" s="1"/>
  <c r="I62" i="2"/>
  <c r="I81" i="1" l="1"/>
  <c r="I86" i="1" l="1"/>
  <c r="I85" i="1"/>
  <c r="H83" i="1"/>
  <c r="I83" i="1"/>
  <c r="I76" i="1"/>
  <c r="I72" i="1"/>
  <c r="H72" i="1"/>
  <c r="I7" i="2" l="1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6" i="2"/>
  <c r="H62" i="2"/>
  <c r="H61" i="2"/>
  <c r="H49" i="2"/>
  <c r="H63" i="2" l="1"/>
  <c r="I52" i="3" l="1"/>
  <c r="J52" i="3"/>
  <c r="J54" i="3" s="1"/>
  <c r="I53" i="3"/>
  <c r="I54" i="3" s="1"/>
  <c r="J53" i="3"/>
  <c r="I49" i="3"/>
  <c r="J7" i="3"/>
  <c r="J8" i="3"/>
  <c r="J9" i="3"/>
  <c r="J10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6" i="3"/>
  <c r="F48" i="2" l="1"/>
  <c r="I48" i="2" l="1"/>
  <c r="E49" i="2"/>
  <c r="I49" i="2" l="1"/>
  <c r="F25" i="1"/>
  <c r="G30" i="3"/>
  <c r="D52" i="3" l="1"/>
  <c r="D54" i="3" s="1"/>
  <c r="E52" i="3"/>
  <c r="E54" i="3" s="1"/>
  <c r="F52" i="3"/>
  <c r="F54" i="3" s="1"/>
  <c r="G52" i="3"/>
  <c r="G54" i="3" s="1"/>
  <c r="D53" i="3"/>
  <c r="E53" i="3"/>
  <c r="F53" i="3"/>
  <c r="G53" i="3"/>
  <c r="H53" i="3"/>
  <c r="C53" i="3"/>
  <c r="C52" i="3"/>
  <c r="C48" i="3"/>
  <c r="C61" i="2"/>
  <c r="D61" i="2"/>
  <c r="E61" i="2"/>
  <c r="F61" i="2"/>
  <c r="G61" i="2"/>
  <c r="C62" i="2"/>
  <c r="D62" i="2"/>
  <c r="E62" i="2"/>
  <c r="F62" i="2"/>
  <c r="G62" i="2"/>
  <c r="F58" i="1"/>
  <c r="G58" i="1"/>
  <c r="D58" i="1"/>
  <c r="E57" i="1"/>
  <c r="F57" i="1"/>
  <c r="H57" i="1"/>
  <c r="I57" i="1"/>
  <c r="D57" i="1"/>
  <c r="D59" i="1" s="1"/>
  <c r="F59" i="1" l="1"/>
  <c r="E63" i="2"/>
  <c r="G63" i="2"/>
  <c r="C63" i="2"/>
  <c r="F63" i="2"/>
  <c r="D63" i="2"/>
  <c r="C54" i="3"/>
  <c r="C49" i="2" l="1"/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8" i="1"/>
  <c r="F51" i="1"/>
  <c r="G47" i="1"/>
  <c r="G57" i="1" s="1"/>
  <c r="G59" i="1" s="1"/>
  <c r="J57" i="1" l="1"/>
  <c r="E50" i="1"/>
  <c r="E58" i="1" l="1"/>
  <c r="E59" i="1" s="1"/>
  <c r="D51" i="1"/>
  <c r="D53" i="1"/>
  <c r="H7" i="3" l="1"/>
  <c r="H11" i="3"/>
  <c r="J11" i="3" s="1"/>
  <c r="J49" i="3" s="1"/>
  <c r="H15" i="3"/>
  <c r="H19" i="3"/>
  <c r="H23" i="3"/>
  <c r="H27" i="3"/>
  <c r="H31" i="3"/>
  <c r="H35" i="3"/>
  <c r="H39" i="3"/>
  <c r="H43" i="3"/>
  <c r="H47" i="3"/>
  <c r="G32" i="3"/>
  <c r="G12" i="3"/>
  <c r="G38" i="3"/>
  <c r="G39" i="3"/>
  <c r="G28" i="3"/>
  <c r="G22" i="3"/>
  <c r="G37" i="3"/>
  <c r="F49" i="3"/>
  <c r="E48" i="3"/>
  <c r="H48" i="3" s="1"/>
  <c r="E7" i="3"/>
  <c r="E8" i="3"/>
  <c r="H8" i="3" s="1"/>
  <c r="E9" i="3"/>
  <c r="H9" i="3" s="1"/>
  <c r="E10" i="3"/>
  <c r="H10" i="3" s="1"/>
  <c r="E11" i="3"/>
  <c r="E12" i="3"/>
  <c r="H12" i="3" s="1"/>
  <c r="E13" i="3"/>
  <c r="H13" i="3" s="1"/>
  <c r="E14" i="3"/>
  <c r="H14" i="3" s="1"/>
  <c r="E15" i="3"/>
  <c r="E16" i="3"/>
  <c r="H16" i="3" s="1"/>
  <c r="E17" i="3"/>
  <c r="H17" i="3" s="1"/>
  <c r="E18" i="3"/>
  <c r="H18" i="3" s="1"/>
  <c r="E19" i="3"/>
  <c r="E20" i="3"/>
  <c r="H20" i="3" s="1"/>
  <c r="E21" i="3"/>
  <c r="H21" i="3" s="1"/>
  <c r="E22" i="3"/>
  <c r="H22" i="3" s="1"/>
  <c r="E23" i="3"/>
  <c r="E24" i="3"/>
  <c r="H24" i="3" s="1"/>
  <c r="E25" i="3"/>
  <c r="H25" i="3" s="1"/>
  <c r="E26" i="3"/>
  <c r="H26" i="3" s="1"/>
  <c r="E27" i="3"/>
  <c r="E28" i="3"/>
  <c r="H28" i="3" s="1"/>
  <c r="E29" i="3"/>
  <c r="H29" i="3" s="1"/>
  <c r="E30" i="3"/>
  <c r="H30" i="3" s="1"/>
  <c r="E31" i="3"/>
  <c r="E32" i="3"/>
  <c r="H32" i="3" s="1"/>
  <c r="E33" i="3"/>
  <c r="H33" i="3" s="1"/>
  <c r="E34" i="3"/>
  <c r="H34" i="3" s="1"/>
  <c r="E35" i="3"/>
  <c r="E36" i="3"/>
  <c r="H36" i="3" s="1"/>
  <c r="E37" i="3"/>
  <c r="H37" i="3" s="1"/>
  <c r="E38" i="3"/>
  <c r="H38" i="3" s="1"/>
  <c r="E39" i="3"/>
  <c r="E40" i="3"/>
  <c r="E41" i="3"/>
  <c r="H41" i="3" s="1"/>
  <c r="E42" i="3"/>
  <c r="H42" i="3" s="1"/>
  <c r="E43" i="3"/>
  <c r="E44" i="3"/>
  <c r="H44" i="3" s="1"/>
  <c r="E45" i="3"/>
  <c r="H45" i="3" s="1"/>
  <c r="E46" i="3"/>
  <c r="H46" i="3" s="1"/>
  <c r="E47" i="3"/>
  <c r="E6" i="3"/>
  <c r="H6" i="3" s="1"/>
  <c r="F49" i="2"/>
  <c r="H40" i="3" l="1"/>
  <c r="H52" i="3" s="1"/>
  <c r="H54" i="3" s="1"/>
  <c r="H49" i="3"/>
  <c r="E49" i="3"/>
  <c r="G49" i="3" l="1"/>
  <c r="G50" i="3" s="1"/>
  <c r="D49" i="2" l="1"/>
  <c r="G51" i="1" l="1"/>
  <c r="G49" i="2" l="1"/>
  <c r="E51" i="1" l="1"/>
  <c r="H55" i="1"/>
  <c r="H50" i="1" l="1"/>
  <c r="I55" i="1"/>
  <c r="I50" i="1" s="1"/>
  <c r="I58" i="1" s="1"/>
  <c r="I59" i="1" s="1"/>
  <c r="H58" i="1" l="1"/>
  <c r="H59" i="1" s="1"/>
  <c r="J50" i="1"/>
  <c r="J58" i="1" s="1"/>
  <c r="J59" i="1" s="1"/>
  <c r="H51" i="1"/>
  <c r="I51" i="1"/>
  <c r="J51" i="1" l="1"/>
  <c r="D49" i="3" l="1"/>
  <c r="L25" i="1" l="1"/>
  <c r="L10" i="1"/>
  <c r="L11" i="1"/>
  <c r="L12" i="1"/>
  <c r="L13" i="1"/>
  <c r="L15" i="1"/>
  <c r="L16" i="1"/>
  <c r="L17" i="1"/>
  <c r="L18" i="1"/>
  <c r="L19" i="1"/>
  <c r="L20" i="1"/>
  <c r="L21" i="1"/>
  <c r="L22" i="1"/>
  <c r="L23" i="1"/>
  <c r="L24" i="1"/>
  <c r="L26" i="1"/>
  <c r="L27" i="1"/>
  <c r="L29" i="1"/>
  <c r="L30" i="1"/>
  <c r="L31" i="1"/>
  <c r="L32" i="1"/>
  <c r="L33" i="1"/>
  <c r="L34" i="1"/>
  <c r="L35" i="1"/>
  <c r="L37" i="1"/>
  <c r="L38" i="1"/>
  <c r="L39" i="1"/>
  <c r="L40" i="1"/>
  <c r="L42" i="1"/>
  <c r="L43" i="1"/>
  <c r="L44" i="1"/>
  <c r="L45" i="1"/>
  <c r="L46" i="1"/>
  <c r="L48" i="1"/>
  <c r="L50" i="1"/>
  <c r="L14" i="1"/>
  <c r="L47" i="1"/>
  <c r="L41" i="1"/>
  <c r="L36" i="1"/>
  <c r="L28" i="1"/>
  <c r="L8" i="1" l="1"/>
  <c r="L9" i="1"/>
</calcChain>
</file>

<file path=xl/comments1.xml><?xml version="1.0" encoding="utf-8"?>
<comments xmlns="http://schemas.openxmlformats.org/spreadsheetml/2006/main">
  <authors>
    <author>Ing. Lenka Káňová</author>
  </authors>
  <commentList>
    <comment ref="F25" authorId="0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130 tis. Výměnou za 30/
3141
558309,3 ziskal výměnou za FPP HV 3137
</t>
        </r>
      </text>
    </comment>
  </commentList>
</comments>
</file>

<file path=xl/comments2.xml><?xml version="1.0" encoding="utf-8"?>
<comments xmlns="http://schemas.openxmlformats.org/spreadsheetml/2006/main">
  <authors>
    <author>Ing. Lenka Káňová</author>
    <author>Ing. Dagmar Kopecká</author>
  </authors>
  <commentList>
    <comment ref="C4" authorId="0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Cílový stav, kdy budou proúčtovány investice ve zdroji 81 za r. 2018
</t>
        </r>
      </text>
    </comment>
    <comment ref="E18" authorId="0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Převod na FF</t>
        </r>
      </text>
    </comment>
    <comment ref="F48" authorId="1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dofin.projektů EU
</t>
        </r>
      </text>
    </comment>
    <comment ref="H48" authorId="1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nevím, ke kterému řádku připsat FPP, tak jsem použila tento</t>
        </r>
      </text>
    </comment>
  </commentList>
</comments>
</file>

<file path=xl/comments3.xml><?xml version="1.0" encoding="utf-8"?>
<comments xmlns="http://schemas.openxmlformats.org/spreadsheetml/2006/main">
  <authors>
    <author>Ing. Lenka Káňová</author>
    <author>Ing. Dagmar Kopecká</author>
  </authors>
  <commentList>
    <comment ref="F9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Převod do FRIM
</t>
        </r>
      </text>
    </comment>
    <comment ref="F11" authorId="0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Výměna s 3721
</t>
        </r>
      </text>
    </comment>
    <comment ref="F23" authorId="0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Výměny za 11 (3153) a za FRIM (3137)
</t>
        </r>
      </text>
    </comment>
    <comment ref="F32" authorId="0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výměna za FRIM LRR
</t>
        </r>
      </text>
    </comment>
    <comment ref="F35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převod na RUP
</t>
        </r>
      </text>
    </comment>
    <comment ref="F39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LRR - výměna za FRIM
</t>
        </r>
      </text>
    </comment>
    <comment ref="F40" authorId="0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Výměna z 3122
</t>
        </r>
      </text>
    </comment>
    <comment ref="F45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převod do FRIM
</t>
        </r>
      </text>
    </comment>
    <comment ref="I48" authorId="1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nevím, ke kterému řádku připsat FPP, tak jsem použila tento</t>
        </r>
      </text>
    </comment>
  </commentList>
</comments>
</file>

<file path=xl/sharedStrings.xml><?xml version="1.0" encoding="utf-8"?>
<sst xmlns="http://schemas.openxmlformats.org/spreadsheetml/2006/main" count="204" uniqueCount="102">
  <si>
    <t>kód</t>
  </si>
  <si>
    <t>katedra</t>
  </si>
  <si>
    <t>Zůstatek ve FRIM pro příští rok (v případě půjček)</t>
  </si>
  <si>
    <t>zůstatek ve FRIM pro příští rok</t>
  </si>
  <si>
    <t>VPRO matematika a informatika</t>
  </si>
  <si>
    <t>Mat. analýza a apl. mat.</t>
  </si>
  <si>
    <t>Algebra a geometrie</t>
  </si>
  <si>
    <t>Informatika</t>
  </si>
  <si>
    <t>VPRO fyzika</t>
  </si>
  <si>
    <t>Experimentální fyzika</t>
  </si>
  <si>
    <t>Optika</t>
  </si>
  <si>
    <t>Společná laboratoř</t>
  </si>
  <si>
    <t>Biofyzika</t>
  </si>
  <si>
    <t>VPRO chemie</t>
  </si>
  <si>
    <t>Anorganická chemie</t>
  </si>
  <si>
    <t>Fyzikální chemie</t>
  </si>
  <si>
    <t>Analytické chemie</t>
  </si>
  <si>
    <t>Organická chemie</t>
  </si>
  <si>
    <t>Biochemie</t>
  </si>
  <si>
    <t>VPRO biologie a ekologie</t>
  </si>
  <si>
    <t>Botanika</t>
  </si>
  <si>
    <t>Laboratoř růstových regulátorů</t>
  </si>
  <si>
    <t>Zoologie a antropologie</t>
  </si>
  <si>
    <t>Ekologie a životní prostředí</t>
  </si>
  <si>
    <t>Buněčná biologie a genetika</t>
  </si>
  <si>
    <t>VPRO vědy o Zemi</t>
  </si>
  <si>
    <t>Geografie</t>
  </si>
  <si>
    <t>Geologie</t>
  </si>
  <si>
    <t>Geoinformatika</t>
  </si>
  <si>
    <t>Rozvojová a environmentální studia</t>
  </si>
  <si>
    <t>CRH - Řídící úsek</t>
  </si>
  <si>
    <t>Proteinová biochemie a proteomika</t>
  </si>
  <si>
    <t>Bioenergetika rostlin</t>
  </si>
  <si>
    <t>Chemická biologie</t>
  </si>
  <si>
    <t>Rostlinné biotechnologie</t>
  </si>
  <si>
    <t>Buněčná a vývojová biologie rostlin</t>
  </si>
  <si>
    <t>Centrální laboratoře a podpora výzkumu</t>
  </si>
  <si>
    <t>RCPTM - Vedení</t>
  </si>
  <si>
    <t>RCPTM - Magnetic</t>
  </si>
  <si>
    <t>RCPTM - Uhlík</t>
  </si>
  <si>
    <t>RCPTM - Komplexy</t>
  </si>
  <si>
    <t>RCPTM - Optika</t>
  </si>
  <si>
    <t>RCPTM - Bio-Med</t>
  </si>
  <si>
    <t>RCPTM - Analýza</t>
  </si>
  <si>
    <t>RCPTM - Environmental</t>
  </si>
  <si>
    <t>RCPTM - Elektrochemie</t>
  </si>
  <si>
    <t>CELKEM</t>
  </si>
  <si>
    <r>
      <rPr>
        <b/>
        <sz val="13"/>
        <rFont val="Calibri"/>
        <family val="2"/>
        <charset val="238"/>
        <scheme val="minor"/>
      </rPr>
      <t xml:space="preserve">Čerpání investice - FRIM zdroj 80/ Fakturovaná cena </t>
    </r>
    <r>
      <rPr>
        <b/>
        <sz val="13"/>
        <color rgb="FFFF0000"/>
        <rFont val="Calibri"/>
        <family val="2"/>
        <charset val="238"/>
        <scheme val="minor"/>
      </rPr>
      <t xml:space="preserve">včetně DPH </t>
    </r>
  </si>
  <si>
    <r>
      <rPr>
        <b/>
        <sz val="13"/>
        <rFont val="Calibri"/>
        <family val="2"/>
        <charset val="238"/>
        <scheme val="minor"/>
      </rPr>
      <t xml:space="preserve">Čerpání investice - FRIM z FPP zdroj 81/ Fakturovaná cena </t>
    </r>
    <r>
      <rPr>
        <b/>
        <sz val="13"/>
        <color rgb="FFFF0000"/>
        <rFont val="Calibri"/>
        <family val="2"/>
        <charset val="238"/>
        <scheme val="minor"/>
      </rPr>
      <t xml:space="preserve">včetně DPH </t>
    </r>
  </si>
  <si>
    <t>Úpravy</t>
  </si>
  <si>
    <t>Oprava spočívá v navýšení čerpání FPP střediska 3111 v provozu o částku 10 195,73 Kč (FPP uk. F). Nová hodnota celkové částky čerpání FPP v provozu 13 052 642,28 Kč (změna z původní částky 13 042 446,55 Kč) a nová celková hodnota zůstatku FPP je 86 307 834,88 Kč (změna z původní částky 86 318 030,61 Kč)</t>
  </si>
  <si>
    <t>Zdanění?</t>
  </si>
  <si>
    <t>FPP</t>
  </si>
  <si>
    <t>FRIM</t>
  </si>
  <si>
    <t>FPP HV</t>
  </si>
  <si>
    <t>Příloha 1.3</t>
  </si>
  <si>
    <t>HV 2018</t>
  </si>
  <si>
    <t>Výsledek hospodaření 2019</t>
  </si>
  <si>
    <t>FPP - KS 2019</t>
  </si>
  <si>
    <t>součet 3900-1 - 5 (vybavení, stavby, internacionalizace, solidární fond, pokuty a penále)</t>
  </si>
  <si>
    <t>SPP - SAP</t>
  </si>
  <si>
    <t>PS 2019 - SAP</t>
  </si>
  <si>
    <t xml:space="preserve">Čerpání </t>
  </si>
  <si>
    <t>FRIM - KS 2019</t>
  </si>
  <si>
    <t>Děkanát / fakulta</t>
  </si>
  <si>
    <t>PS 2019</t>
  </si>
  <si>
    <t>Skutečné čerpání 2019 FPP INV</t>
  </si>
  <si>
    <t>Děkanát vybavení</t>
  </si>
  <si>
    <t>Děkanát rozvoj</t>
  </si>
  <si>
    <t>Skutečné čerpání 2019 FPP NIV  (čerpání + převody)</t>
  </si>
  <si>
    <t>Čerpání 2019 (čerpání + převody)</t>
  </si>
  <si>
    <t>MedChemBio - bude spláceno postupně</t>
  </si>
  <si>
    <t>Odpisy 2019 - zaúčtované - SAP</t>
  </si>
  <si>
    <t>Celkem tvorba</t>
  </si>
  <si>
    <t>Tvorba FRIM - převody, výměny</t>
  </si>
  <si>
    <t>Tvorba FRIM z FPP - převody, výměny</t>
  </si>
  <si>
    <t>katedry</t>
  </si>
  <si>
    <t>PřF</t>
  </si>
  <si>
    <t>Převod FPP do FRIM FPP</t>
  </si>
  <si>
    <t>Převod mezi součástmi</t>
  </si>
  <si>
    <t>Disponibilní zůstatek pro r. 2020</t>
  </si>
  <si>
    <t>KS 2019</t>
  </si>
  <si>
    <t>kopírka multifunkční</t>
  </si>
  <si>
    <t>objekt 52  Holice - vybavení</t>
  </si>
  <si>
    <t>Plátno v aule</t>
  </si>
  <si>
    <t xml:space="preserve">Dobudování 53 </t>
  </si>
  <si>
    <t>SWITCH Juniper</t>
  </si>
  <si>
    <t>Dostavba energocentra</t>
  </si>
  <si>
    <t>Aktivace exponátů PP</t>
  </si>
  <si>
    <t>Mycí stroj - SB</t>
  </si>
  <si>
    <t>Stroj na dřevoobrábění - SB</t>
  </si>
  <si>
    <t>Generátory chlodioxidu- SB</t>
  </si>
  <si>
    <t>Stavební akce 1.- komunikace</t>
  </si>
  <si>
    <t>Stavební akce 2. - 47</t>
  </si>
  <si>
    <t>Stavební akce 3. - 53</t>
  </si>
  <si>
    <t>Stavební akce 4.- energocentr.</t>
  </si>
  <si>
    <t>Stavební akce 5. - 52</t>
  </si>
  <si>
    <t>Stavební akce 6. - komunikace</t>
  </si>
  <si>
    <t>Ostatní</t>
  </si>
  <si>
    <t>PP - vratka pokuty</t>
  </si>
  <si>
    <t>Přehled čerpání fondů - FRIM, FPP, FPP HV za r. 2019</t>
  </si>
  <si>
    <t>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</si>
</sst>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_ ;[Red]\-#,##0.00\ 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sz val="24"/>
      <color rgb="FF00B050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i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i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3" fillId="0" borderId="0" xfId="0" applyFont="1"/>
    <xf numFmtId="0" fontId="0" fillId="0" borderId="0" xfId="0" applyFill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1" fillId="3" borderId="9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/>
    </xf>
    <xf numFmtId="0" fontId="12" fillId="4" borderId="13" xfId="0" applyFont="1" applyFill="1" applyBorder="1"/>
    <xf numFmtId="164" fontId="0" fillId="0" borderId="0" xfId="0" applyNumberFormat="1" applyFont="1"/>
    <xf numFmtId="164" fontId="3" fillId="4" borderId="0" xfId="0" applyNumberFormat="1" applyFont="1" applyFill="1"/>
    <xf numFmtId="0" fontId="12" fillId="2" borderId="14" xfId="0" applyFont="1" applyFill="1" applyBorder="1" applyAlignment="1">
      <alignment horizontal="center"/>
    </xf>
    <xf numFmtId="0" fontId="0" fillId="0" borderId="15" xfId="0" applyFont="1" applyFill="1" applyBorder="1"/>
    <xf numFmtId="164" fontId="3" fillId="0" borderId="0" xfId="0" applyNumberFormat="1" applyFont="1"/>
    <xf numFmtId="0" fontId="12" fillId="4" borderId="15" xfId="0" applyFont="1" applyFill="1" applyBorder="1"/>
    <xf numFmtId="0" fontId="0" fillId="0" borderId="0" xfId="0" applyFont="1"/>
    <xf numFmtId="0" fontId="0" fillId="4" borderId="15" xfId="0" applyFont="1" applyFill="1" applyBorder="1"/>
    <xf numFmtId="164" fontId="13" fillId="0" borderId="0" xfId="0" applyNumberFormat="1" applyFont="1" applyFill="1"/>
    <xf numFmtId="0" fontId="0" fillId="2" borderId="14" xfId="0" applyFont="1" applyFill="1" applyBorder="1" applyAlignment="1">
      <alignment horizontal="center"/>
    </xf>
    <xf numFmtId="0" fontId="2" fillId="4" borderId="17" xfId="0" applyFont="1" applyFill="1" applyBorder="1" applyAlignment="1"/>
    <xf numFmtId="0" fontId="2" fillId="4" borderId="18" xfId="0" applyFont="1" applyFill="1" applyBorder="1" applyAlignment="1"/>
    <xf numFmtId="0" fontId="8" fillId="0" borderId="0" xfId="0" applyFont="1" applyFill="1" applyBorder="1" applyAlignment="1"/>
    <xf numFmtId="164" fontId="14" fillId="0" borderId="0" xfId="0" applyNumberFormat="1" applyFont="1" applyFill="1"/>
    <xf numFmtId="0" fontId="14" fillId="0" borderId="0" xfId="0" applyFont="1"/>
    <xf numFmtId="164" fontId="14" fillId="0" borderId="0" xfId="0" applyNumberFormat="1" applyFont="1"/>
    <xf numFmtId="164" fontId="0" fillId="0" borderId="0" xfId="0" applyNumberFormat="1"/>
    <xf numFmtId="0" fontId="15" fillId="0" borderId="0" xfId="0" applyFont="1"/>
    <xf numFmtId="4" fontId="0" fillId="0" borderId="16" xfId="0" applyNumberFormat="1" applyFont="1" applyFill="1" applyBorder="1" applyAlignment="1">
      <alignment vertical="center"/>
    </xf>
    <xf numFmtId="4" fontId="0" fillId="4" borderId="16" xfId="0" applyNumberFormat="1" applyFont="1" applyFill="1" applyBorder="1" applyAlignment="1">
      <alignment vertical="center"/>
    </xf>
    <xf numFmtId="0" fontId="2" fillId="4" borderId="22" xfId="0" applyFont="1" applyFill="1" applyBorder="1" applyAlignment="1">
      <alignment vertical="center"/>
    </xf>
    <xf numFmtId="4" fontId="2" fillId="4" borderId="19" xfId="0" applyNumberFormat="1" applyFont="1" applyFill="1" applyBorder="1" applyAlignment="1">
      <alignment vertical="center"/>
    </xf>
    <xf numFmtId="0" fontId="2" fillId="0" borderId="0" xfId="0" applyFont="1" applyFill="1" applyBorder="1" applyAlignment="1"/>
    <xf numFmtId="164" fontId="2" fillId="0" borderId="0" xfId="0" applyNumberFormat="1" applyFont="1" applyFill="1" applyBorder="1"/>
    <xf numFmtId="0" fontId="14" fillId="0" borderId="0" xfId="0" applyFont="1" applyFill="1" applyBorder="1"/>
    <xf numFmtId="4" fontId="0" fillId="0" borderId="0" xfId="0" applyNumberFormat="1"/>
    <xf numFmtId="4" fontId="12" fillId="4" borderId="11" xfId="0" applyNumberFormat="1" applyFont="1" applyFill="1" applyBorder="1" applyAlignment="1">
      <alignment vertical="center"/>
    </xf>
    <xf numFmtId="4" fontId="12" fillId="4" borderId="16" xfId="0" applyNumberFormat="1" applyFont="1" applyFill="1" applyBorder="1" applyAlignment="1">
      <alignment vertical="center"/>
    </xf>
    <xf numFmtId="164" fontId="0" fillId="0" borderId="0" xfId="0" applyNumberFormat="1" applyFill="1"/>
    <xf numFmtId="0" fontId="12" fillId="4" borderId="16" xfId="0" applyFont="1" applyFill="1" applyBorder="1"/>
    <xf numFmtId="0" fontId="0" fillId="0" borderId="16" xfId="0" applyFont="1" applyFill="1" applyBorder="1"/>
    <xf numFmtId="0" fontId="0" fillId="4" borderId="16" xfId="0" applyFont="1" applyFill="1" applyBorder="1"/>
    <xf numFmtId="4" fontId="0" fillId="0" borderId="0" xfId="0" applyNumberFormat="1" applyFont="1"/>
    <xf numFmtId="0" fontId="2" fillId="0" borderId="0" xfId="0" applyNumberFormat="1" applyFont="1" applyFill="1" applyBorder="1"/>
    <xf numFmtId="4" fontId="0" fillId="0" borderId="0" xfId="0" applyNumberFormat="1" applyFill="1"/>
    <xf numFmtId="4" fontId="12" fillId="0" borderId="16" xfId="0" applyNumberFormat="1" applyFont="1" applyFill="1" applyBorder="1" applyAlignment="1">
      <alignment vertical="center"/>
    </xf>
    <xf numFmtId="4" fontId="1" fillId="0" borderId="16" xfId="0" applyNumberFormat="1" applyFont="1" applyFill="1" applyBorder="1" applyAlignment="1">
      <alignment vertical="center"/>
    </xf>
    <xf numFmtId="4" fontId="0" fillId="0" borderId="16" xfId="0" applyNumberFormat="1" applyFont="1" applyFill="1" applyBorder="1"/>
    <xf numFmtId="4" fontId="12" fillId="0" borderId="16" xfId="0" applyNumberFormat="1" applyFont="1" applyFill="1" applyBorder="1"/>
    <xf numFmtId="4" fontId="0" fillId="4" borderId="16" xfId="0" applyNumberFormat="1" applyFont="1" applyFill="1" applyBorder="1"/>
    <xf numFmtId="4" fontId="0" fillId="4" borderId="11" xfId="0" applyNumberFormat="1" applyFont="1" applyFill="1" applyBorder="1"/>
    <xf numFmtId="4" fontId="12" fillId="4" borderId="13" xfId="0" applyNumberFormat="1" applyFont="1" applyFill="1" applyBorder="1"/>
    <xf numFmtId="4" fontId="0" fillId="0" borderId="15" xfId="0" applyNumberFormat="1" applyFont="1" applyFill="1" applyBorder="1"/>
    <xf numFmtId="4" fontId="12" fillId="4" borderId="15" xfId="0" applyNumberFormat="1" applyFont="1" applyFill="1" applyBorder="1"/>
    <xf numFmtId="4" fontId="0" fillId="4" borderId="15" xfId="0" applyNumberFormat="1" applyFont="1" applyFill="1" applyBorder="1"/>
    <xf numFmtId="4" fontId="2" fillId="4" borderId="18" xfId="0" applyNumberFormat="1" applyFont="1" applyFill="1" applyBorder="1" applyAlignment="1"/>
    <xf numFmtId="4" fontId="0" fillId="0" borderId="16" xfId="0" applyNumberFormat="1" applyFont="1" applyBorder="1"/>
    <xf numFmtId="4" fontId="2" fillId="4" borderId="19" xfId="0" applyNumberFormat="1" applyFont="1" applyFill="1" applyBorder="1"/>
    <xf numFmtId="0" fontId="12" fillId="2" borderId="30" xfId="0" applyFont="1" applyFill="1" applyBorder="1" applyAlignment="1">
      <alignment horizontal="center" vertical="center"/>
    </xf>
    <xf numFmtId="0" fontId="12" fillId="2" borderId="31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vertical="center"/>
    </xf>
    <xf numFmtId="0" fontId="12" fillId="4" borderId="2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0" fontId="12" fillId="4" borderId="21" xfId="0" applyFont="1" applyFill="1" applyBorder="1" applyAlignment="1">
      <alignment vertical="center"/>
    </xf>
    <xf numFmtId="0" fontId="0" fillId="4" borderId="21" xfId="0" applyFont="1" applyFill="1" applyBorder="1" applyAlignment="1">
      <alignment vertical="center"/>
    </xf>
    <xf numFmtId="0" fontId="0" fillId="0" borderId="0" xfId="0" applyBorder="1"/>
    <xf numFmtId="4" fontId="0" fillId="0" borderId="0" xfId="0" applyNumberFormat="1" applyFont="1" applyFill="1" applyBorder="1" applyAlignment="1">
      <alignment vertical="center"/>
    </xf>
    <xf numFmtId="4" fontId="12" fillId="4" borderId="16" xfId="0" applyNumberFormat="1" applyFont="1" applyFill="1" applyBorder="1"/>
    <xf numFmtId="0" fontId="2" fillId="4" borderId="22" xfId="0" applyFont="1" applyFill="1" applyBorder="1" applyAlignment="1"/>
    <xf numFmtId="0" fontId="2" fillId="4" borderId="19" xfId="0" applyFont="1" applyFill="1" applyBorder="1" applyAlignment="1"/>
    <xf numFmtId="4" fontId="2" fillId="5" borderId="19" xfId="0" applyNumberFormat="1" applyFont="1" applyFill="1" applyBorder="1"/>
    <xf numFmtId="0" fontId="12" fillId="2" borderId="32" xfId="0" applyFont="1" applyFill="1" applyBorder="1" applyAlignment="1">
      <alignment horizontal="center"/>
    </xf>
    <xf numFmtId="0" fontId="12" fillId="4" borderId="3" xfId="0" applyFont="1" applyFill="1" applyBorder="1"/>
    <xf numFmtId="4" fontId="0" fillId="4" borderId="3" xfId="0" applyNumberFormat="1" applyFont="1" applyFill="1" applyBorder="1"/>
    <xf numFmtId="0" fontId="12" fillId="2" borderId="21" xfId="0" applyFont="1" applyFill="1" applyBorder="1" applyAlignment="1">
      <alignment horizontal="center"/>
    </xf>
    <xf numFmtId="4" fontId="12" fillId="0" borderId="9" xfId="0" applyNumberFormat="1" applyFont="1" applyFill="1" applyBorder="1"/>
    <xf numFmtId="4" fontId="3" fillId="0" borderId="0" xfId="0" applyNumberFormat="1" applyFont="1"/>
    <xf numFmtId="0" fontId="18" fillId="0" borderId="0" xfId="0" applyFont="1"/>
    <xf numFmtId="0" fontId="6" fillId="0" borderId="0" xfId="0" applyFont="1" applyAlignment="1"/>
    <xf numFmtId="0" fontId="4" fillId="0" borderId="0" xfId="0" applyFont="1" applyFill="1" applyAlignment="1">
      <alignment horizontal="center"/>
    </xf>
    <xf numFmtId="165" fontId="0" fillId="4" borderId="11" xfId="0" applyNumberFormat="1" applyFont="1" applyFill="1" applyBorder="1"/>
    <xf numFmtId="4" fontId="0" fillId="6" borderId="11" xfId="0" applyNumberFormat="1" applyFont="1" applyFill="1" applyBorder="1"/>
    <xf numFmtId="4" fontId="0" fillId="6" borderId="16" xfId="0" applyNumberFormat="1" applyFont="1" applyFill="1" applyBorder="1"/>
    <xf numFmtId="4" fontId="0" fillId="6" borderId="16" xfId="0" applyNumberFormat="1" applyFont="1" applyFill="1" applyBorder="1" applyAlignment="1">
      <alignment vertical="center"/>
    </xf>
    <xf numFmtId="4" fontId="12" fillId="6" borderId="16" xfId="0" applyNumberFormat="1" applyFont="1" applyFill="1" applyBorder="1" applyAlignment="1">
      <alignment vertical="center"/>
    </xf>
    <xf numFmtId="164" fontId="12" fillId="0" borderId="0" xfId="0" applyNumberFormat="1" applyFont="1" applyBorder="1"/>
    <xf numFmtId="164" fontId="0" fillId="0" borderId="0" xfId="0" applyNumberFormat="1" applyFont="1" applyBorder="1"/>
    <xf numFmtId="4" fontId="0" fillId="7" borderId="16" xfId="0" applyNumberFormat="1" applyFont="1" applyFill="1" applyBorder="1"/>
    <xf numFmtId="4" fontId="0" fillId="7" borderId="0" xfId="0" applyNumberFormat="1" applyFill="1"/>
    <xf numFmtId="0" fontId="2" fillId="0" borderId="0" xfId="0" applyFont="1" applyBorder="1"/>
    <xf numFmtId="4" fontId="2" fillId="0" borderId="0" xfId="0" applyNumberFormat="1" applyFont="1" applyBorder="1"/>
    <xf numFmtId="4" fontId="0" fillId="0" borderId="0" xfId="0" applyNumberFormat="1" applyBorder="1"/>
    <xf numFmtId="4" fontId="0" fillId="8" borderId="0" xfId="0" applyNumberFormat="1" applyFill="1" applyBorder="1"/>
    <xf numFmtId="4" fontId="0" fillId="8" borderId="0" xfId="0" applyNumberFormat="1" applyFont="1" applyFill="1" applyBorder="1"/>
    <xf numFmtId="4" fontId="2" fillId="0" borderId="0" xfId="0" applyNumberFormat="1" applyFont="1"/>
    <xf numFmtId="4" fontId="2" fillId="4" borderId="10" xfId="0" applyNumberFormat="1" applyFont="1" applyFill="1" applyBorder="1"/>
    <xf numFmtId="4" fontId="0" fillId="8" borderId="9" xfId="0" applyNumberFormat="1" applyFont="1" applyFill="1" applyBorder="1"/>
    <xf numFmtId="4" fontId="0" fillId="6" borderId="6" xfId="0" applyNumberFormat="1" applyFont="1" applyFill="1" applyBorder="1"/>
    <xf numFmtId="4" fontId="2" fillId="0" borderId="16" xfId="0" applyNumberFormat="1" applyFont="1" applyFill="1" applyBorder="1" applyAlignment="1">
      <alignment vertical="center"/>
    </xf>
    <xf numFmtId="4" fontId="2" fillId="0" borderId="0" xfId="0" applyNumberFormat="1" applyFont="1" applyFill="1" applyBorder="1"/>
    <xf numFmtId="164" fontId="21" fillId="0" borderId="0" xfId="0" applyNumberFormat="1" applyFont="1"/>
    <xf numFmtId="4" fontId="0" fillId="6" borderId="39" xfId="0" applyNumberFormat="1" applyFont="1" applyFill="1" applyBorder="1"/>
    <xf numFmtId="4" fontId="0" fillId="6" borderId="40" xfId="0" applyNumberFormat="1" applyFont="1" applyFill="1" applyBorder="1"/>
    <xf numFmtId="4" fontId="12" fillId="6" borderId="40" xfId="0" applyNumberFormat="1" applyFont="1" applyFill="1" applyBorder="1"/>
    <xf numFmtId="4" fontId="20" fillId="6" borderId="40" xfId="0" applyNumberFormat="1" applyFont="1" applyFill="1" applyBorder="1"/>
    <xf numFmtId="4" fontId="1" fillId="6" borderId="40" xfId="0" applyNumberFormat="1" applyFont="1" applyFill="1" applyBorder="1"/>
    <xf numFmtId="4" fontId="12" fillId="6" borderId="41" xfId="0" applyNumberFormat="1" applyFont="1" applyFill="1" applyBorder="1"/>
    <xf numFmtId="3" fontId="3" fillId="0" borderId="0" xfId="0" applyNumberFormat="1" applyFont="1"/>
    <xf numFmtId="4" fontId="0" fillId="0" borderId="37" xfId="0" applyNumberFormat="1" applyFont="1" applyBorder="1"/>
    <xf numFmtId="4" fontId="0" fillId="9" borderId="16" xfId="0" applyNumberFormat="1" applyFont="1" applyFill="1" applyBorder="1"/>
    <xf numFmtId="0" fontId="9" fillId="2" borderId="28" xfId="0" applyNumberFormat="1" applyFont="1" applyFill="1" applyBorder="1" applyAlignment="1">
      <alignment horizontal="center" vertical="center" wrapText="1"/>
    </xf>
    <xf numFmtId="0" fontId="9" fillId="2" borderId="29" xfId="0" applyNumberFormat="1" applyFont="1" applyFill="1" applyBorder="1" applyAlignment="1">
      <alignment horizontal="center" vertical="center" wrapText="1"/>
    </xf>
    <xf numFmtId="4" fontId="0" fillId="4" borderId="11" xfId="0" applyNumberFormat="1" applyFont="1" applyFill="1" applyBorder="1" applyAlignment="1">
      <alignment vertical="center"/>
    </xf>
    <xf numFmtId="4" fontId="12" fillId="4" borderId="3" xfId="0" applyNumberFormat="1" applyFont="1" applyFill="1" applyBorder="1"/>
    <xf numFmtId="4" fontId="0" fillId="0" borderId="9" xfId="0" applyNumberFormat="1" applyFont="1" applyFill="1" applyBorder="1"/>
    <xf numFmtId="4" fontId="2" fillId="4" borderId="19" xfId="0" applyNumberFormat="1" applyFont="1" applyFill="1" applyBorder="1" applyAlignment="1"/>
    <xf numFmtId="4" fontId="2" fillId="0" borderId="0" xfId="0" applyNumberFormat="1" applyFont="1" applyFill="1" applyBorder="1" applyAlignment="1"/>
    <xf numFmtId="4" fontId="2" fillId="4" borderId="36" xfId="0" applyNumberFormat="1" applyFont="1" applyFill="1" applyBorder="1"/>
    <xf numFmtId="4" fontId="2" fillId="4" borderId="18" xfId="0" applyNumberFormat="1" applyFont="1" applyFill="1" applyBorder="1" applyAlignment="1">
      <alignment vertical="center"/>
    </xf>
    <xf numFmtId="0" fontId="21" fillId="0" borderId="0" xfId="0" applyFont="1"/>
    <xf numFmtId="4" fontId="21" fillId="0" borderId="0" xfId="0" applyNumberFormat="1" applyFont="1"/>
    <xf numFmtId="0" fontId="21" fillId="0" borderId="0" xfId="0" applyFont="1" applyBorder="1"/>
    <xf numFmtId="4" fontId="12" fillId="10" borderId="16" xfId="0" applyNumberFormat="1" applyFont="1" applyFill="1" applyBorder="1"/>
    <xf numFmtId="4" fontId="0" fillId="10" borderId="16" xfId="0" applyNumberFormat="1" applyFont="1" applyFill="1" applyBorder="1"/>
    <xf numFmtId="4" fontId="12" fillId="11" borderId="16" xfId="0" applyNumberFormat="1" applyFont="1" applyFill="1" applyBorder="1"/>
    <xf numFmtId="4" fontId="0" fillId="8" borderId="16" xfId="0" applyNumberFormat="1" applyFont="1" applyFill="1" applyBorder="1"/>
    <xf numFmtId="0" fontId="0" fillId="0" borderId="34" xfId="0" applyFont="1" applyFill="1" applyBorder="1"/>
    <xf numFmtId="4" fontId="0" fillId="0" borderId="9" xfId="0" applyNumberFormat="1" applyFont="1" applyFill="1" applyBorder="1" applyAlignment="1">
      <alignment vertical="center"/>
    </xf>
    <xf numFmtId="4" fontId="1" fillId="4" borderId="11" xfId="0" applyNumberFormat="1" applyFont="1" applyFill="1" applyBorder="1" applyAlignment="1">
      <alignment vertical="center"/>
    </xf>
    <xf numFmtId="4" fontId="19" fillId="0" borderId="16" xfId="0" applyNumberFormat="1" applyFont="1" applyFill="1" applyBorder="1"/>
    <xf numFmtId="4" fontId="0" fillId="0" borderId="6" xfId="0" applyNumberFormat="1" applyFont="1" applyFill="1" applyBorder="1" applyAlignment="1">
      <alignment vertical="center"/>
    </xf>
    <xf numFmtId="4" fontId="2" fillId="4" borderId="17" xfId="0" applyNumberFormat="1" applyFont="1" applyFill="1" applyBorder="1"/>
    <xf numFmtId="0" fontId="21" fillId="0" borderId="0" xfId="0" applyFont="1" applyAlignment="1"/>
    <xf numFmtId="4" fontId="21" fillId="8" borderId="0" xfId="0" applyNumberFormat="1" applyFont="1" applyFill="1"/>
    <xf numFmtId="4" fontId="21" fillId="7" borderId="0" xfId="0" applyNumberFormat="1" applyFont="1" applyFill="1"/>
    <xf numFmtId="4" fontId="24" fillId="8" borderId="0" xfId="0" applyNumberFormat="1" applyFont="1" applyFill="1"/>
    <xf numFmtId="4" fontId="24" fillId="7" borderId="0" xfId="0" applyNumberFormat="1" applyFont="1" applyFill="1"/>
    <xf numFmtId="0" fontId="2" fillId="0" borderId="0" xfId="0" applyFont="1"/>
    <xf numFmtId="0" fontId="2" fillId="6" borderId="0" xfId="0" applyFont="1" applyFill="1"/>
    <xf numFmtId="0" fontId="0" fillId="6" borderId="0" xfId="0" applyFill="1"/>
    <xf numFmtId="0" fontId="0" fillId="6" borderId="0" xfId="0" applyFill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10" fillId="2" borderId="6" xfId="0" applyNumberFormat="1" applyFont="1" applyFill="1" applyBorder="1" applyAlignment="1">
      <alignment horizontal="center" vertical="center" wrapText="1"/>
    </xf>
    <xf numFmtId="0" fontId="10" fillId="2" borderId="11" xfId="0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9" fillId="2" borderId="10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9" fillId="2" borderId="26" xfId="0" applyNumberFormat="1" applyFont="1" applyFill="1" applyBorder="1" applyAlignment="1">
      <alignment horizontal="center" vertical="center" wrapText="1"/>
    </xf>
    <xf numFmtId="0" fontId="9" fillId="2" borderId="27" xfId="0" applyNumberFormat="1" applyFont="1" applyFill="1" applyBorder="1" applyAlignment="1">
      <alignment horizontal="center" vertical="center" wrapText="1"/>
    </xf>
    <xf numFmtId="0" fontId="9" fillId="3" borderId="28" xfId="0" applyNumberFormat="1" applyFont="1" applyFill="1" applyBorder="1" applyAlignment="1">
      <alignment horizontal="center" vertical="center" wrapText="1"/>
    </xf>
    <xf numFmtId="0" fontId="9" fillId="3" borderId="29" xfId="0" applyNumberFormat="1" applyFont="1" applyFill="1" applyBorder="1" applyAlignment="1">
      <alignment horizontal="center" vertical="center" wrapText="1"/>
    </xf>
    <xf numFmtId="0" fontId="9" fillId="3" borderId="33" xfId="0" applyNumberFormat="1" applyFont="1" applyFill="1" applyBorder="1" applyAlignment="1">
      <alignment horizontal="center" vertical="center" wrapText="1"/>
    </xf>
    <xf numFmtId="0" fontId="9" fillId="3" borderId="38" xfId="0" applyNumberFormat="1" applyFont="1" applyFill="1" applyBorder="1" applyAlignment="1">
      <alignment horizontal="center" vertical="center" wrapText="1"/>
    </xf>
    <xf numFmtId="0" fontId="9" fillId="3" borderId="3" xfId="0" applyNumberFormat="1" applyFont="1" applyFill="1" applyBorder="1" applyAlignment="1">
      <alignment horizontal="center" vertical="center" wrapText="1"/>
    </xf>
    <xf numFmtId="0" fontId="9" fillId="3" borderId="9" xfId="0" applyNumberFormat="1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9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FF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97"/>
  <sheetViews>
    <sheetView topLeftCell="E1" zoomScaleNormal="100" workbookViewId="0">
      <selection activeCell="J3" sqref="J3"/>
    </sheetView>
  </sheetViews>
  <sheetFormatPr defaultRowHeight="14.5" x14ac:dyDescent="0.35"/>
  <cols>
    <col min="1" max="1" width="14.453125" customWidth="1"/>
    <col min="2" max="3" width="37.54296875" customWidth="1"/>
    <col min="4" max="4" width="29.7265625" customWidth="1"/>
    <col min="5" max="6" width="23.26953125" customWidth="1"/>
    <col min="7" max="7" width="27.1796875" customWidth="1"/>
    <col min="8" max="8" width="24" customWidth="1"/>
    <col min="9" max="10" width="24.81640625" customWidth="1"/>
    <col min="11" max="11" width="16.1796875" customWidth="1"/>
    <col min="12" max="12" width="20.453125" hidden="1" customWidth="1"/>
    <col min="13" max="13" width="11.26953125" bestFit="1" customWidth="1"/>
  </cols>
  <sheetData>
    <row r="1" spans="1:13" s="17" customFormat="1" x14ac:dyDescent="0.35">
      <c r="A1" s="17" t="s">
        <v>55</v>
      </c>
    </row>
    <row r="2" spans="1:13" x14ac:dyDescent="0.35">
      <c r="A2" s="138"/>
      <c r="B2" s="138"/>
    </row>
    <row r="3" spans="1:13" x14ac:dyDescent="0.35">
      <c r="A3" s="139" t="s">
        <v>100</v>
      </c>
      <c r="B3" s="139"/>
      <c r="C3" s="140"/>
      <c r="D3" s="140"/>
      <c r="E3" s="140"/>
      <c r="F3" s="140"/>
      <c r="G3" s="140"/>
      <c r="H3" s="140"/>
      <c r="I3" s="140"/>
      <c r="J3" s="141" t="s">
        <v>101</v>
      </c>
    </row>
    <row r="4" spans="1:13" ht="31" x14ac:dyDescent="0.7">
      <c r="H4" s="3"/>
      <c r="I4" s="4"/>
      <c r="J4" s="80"/>
    </row>
    <row r="5" spans="1:13" ht="34" thickBot="1" x14ac:dyDescent="0.8">
      <c r="A5" s="5" t="s">
        <v>53</v>
      </c>
      <c r="B5" s="5">
        <v>2019</v>
      </c>
      <c r="C5" s="5"/>
      <c r="D5" s="5"/>
      <c r="E5" s="2"/>
      <c r="F5" s="2"/>
      <c r="G5" s="2"/>
      <c r="H5" s="6"/>
      <c r="I5" s="7"/>
      <c r="J5" s="6"/>
      <c r="K5" s="2"/>
      <c r="L5" s="2"/>
      <c r="M5" s="2"/>
    </row>
    <row r="6" spans="1:13" ht="15" customHeight="1" x14ac:dyDescent="0.4">
      <c r="A6" s="142" t="s">
        <v>0</v>
      </c>
      <c r="B6" s="144" t="s">
        <v>1</v>
      </c>
      <c r="C6" s="152" t="s">
        <v>60</v>
      </c>
      <c r="D6" s="152" t="s">
        <v>61</v>
      </c>
      <c r="E6" s="150" t="s">
        <v>72</v>
      </c>
      <c r="F6" s="150" t="s">
        <v>74</v>
      </c>
      <c r="G6" s="150" t="s">
        <v>75</v>
      </c>
      <c r="H6" s="146" t="s">
        <v>62</v>
      </c>
      <c r="I6" s="147"/>
      <c r="J6" s="154" t="s">
        <v>63</v>
      </c>
      <c r="L6" s="148" t="s">
        <v>2</v>
      </c>
    </row>
    <row r="7" spans="1:13" ht="135.75" customHeight="1" thickBot="1" x14ac:dyDescent="0.4">
      <c r="A7" s="143"/>
      <c r="B7" s="145"/>
      <c r="C7" s="153"/>
      <c r="D7" s="153"/>
      <c r="E7" s="151"/>
      <c r="F7" s="151"/>
      <c r="G7" s="151"/>
      <c r="H7" s="8" t="s">
        <v>47</v>
      </c>
      <c r="I7" s="8" t="s">
        <v>48</v>
      </c>
      <c r="J7" s="155"/>
      <c r="L7" s="149" t="s">
        <v>3</v>
      </c>
    </row>
    <row r="8" spans="1:13" s="1" customFormat="1" ht="15" customHeight="1" x14ac:dyDescent="0.35">
      <c r="A8" s="9">
        <v>3110</v>
      </c>
      <c r="B8" s="10" t="s">
        <v>4</v>
      </c>
      <c r="C8" s="10"/>
      <c r="D8" s="52">
        <v>0</v>
      </c>
      <c r="E8" s="51">
        <v>0</v>
      </c>
      <c r="F8" s="51"/>
      <c r="G8" s="51"/>
      <c r="H8" s="82">
        <v>0</v>
      </c>
      <c r="I8" s="82">
        <v>0</v>
      </c>
      <c r="J8" s="81">
        <f>D8+E8+F8-H8</f>
        <v>0</v>
      </c>
      <c r="K8" s="11"/>
      <c r="L8" s="12" t="e">
        <f>IF(J8&gt;0,#REF!+#REF!+J8-#REF!,#REF!+#REF!-#REF!)</f>
        <v>#REF!</v>
      </c>
    </row>
    <row r="9" spans="1:13" s="1" customFormat="1" ht="15" customHeight="1" x14ac:dyDescent="0.35">
      <c r="A9" s="13">
        <v>3111</v>
      </c>
      <c r="B9" s="14" t="s">
        <v>5</v>
      </c>
      <c r="C9" s="14">
        <v>983100003</v>
      </c>
      <c r="D9" s="53">
        <v>182917</v>
      </c>
      <c r="E9" s="57">
        <v>28696</v>
      </c>
      <c r="F9" s="57"/>
      <c r="G9" s="57"/>
      <c r="H9" s="83">
        <v>0</v>
      </c>
      <c r="I9" s="83">
        <v>0</v>
      </c>
      <c r="J9" s="81">
        <f t="shared" ref="J9:J50" si="0">D9+E9+F9-H9</f>
        <v>211613</v>
      </c>
      <c r="K9" s="11"/>
      <c r="L9" s="15" t="e">
        <f>IF(J9&gt;0,#REF!+#REF!+J9-#REF!,#REF!+#REF!-#REF!)</f>
        <v>#REF!</v>
      </c>
    </row>
    <row r="10" spans="1:13" s="1" customFormat="1" ht="15" customHeight="1" x14ac:dyDescent="0.35">
      <c r="A10" s="13">
        <v>3112</v>
      </c>
      <c r="B10" s="14" t="s">
        <v>6</v>
      </c>
      <c r="C10" s="14">
        <v>983100004</v>
      </c>
      <c r="D10" s="53">
        <v>68350</v>
      </c>
      <c r="E10" s="57">
        <v>8930</v>
      </c>
      <c r="F10" s="57"/>
      <c r="G10" s="57"/>
      <c r="H10" s="83">
        <v>0</v>
      </c>
      <c r="I10" s="83">
        <v>0</v>
      </c>
      <c r="J10" s="81">
        <f t="shared" si="0"/>
        <v>77280</v>
      </c>
      <c r="K10" s="11"/>
      <c r="L10" s="15" t="e">
        <f>IF(J10&gt;0,#REF!+#REF!+J10-#REF!,#REF!+#REF!-#REF!)</f>
        <v>#REF!</v>
      </c>
    </row>
    <row r="11" spans="1:13" s="1" customFormat="1" ht="15" customHeight="1" x14ac:dyDescent="0.35">
      <c r="A11" s="13">
        <v>3113</v>
      </c>
      <c r="B11" s="14" t="s">
        <v>7</v>
      </c>
      <c r="C11" s="14">
        <v>983100005</v>
      </c>
      <c r="D11" s="53">
        <v>461</v>
      </c>
      <c r="E11" s="57">
        <v>37186</v>
      </c>
      <c r="F11" s="124">
        <v>41990.9</v>
      </c>
      <c r="H11" s="83">
        <v>68836.899999999994</v>
      </c>
      <c r="I11" s="83">
        <v>0</v>
      </c>
      <c r="J11" s="81">
        <f t="shared" si="0"/>
        <v>10801</v>
      </c>
      <c r="K11" s="11"/>
      <c r="L11" s="15" t="e">
        <f>IF(J11&gt;0,#REF!+#REF!+J11-#REF!,#REF!+#REF!-#REF!)</f>
        <v>#REF!</v>
      </c>
    </row>
    <row r="12" spans="1:13" s="1" customFormat="1" ht="15" customHeight="1" x14ac:dyDescent="0.35">
      <c r="A12" s="13">
        <v>3120</v>
      </c>
      <c r="B12" s="16" t="s">
        <v>8</v>
      </c>
      <c r="C12" s="18"/>
      <c r="D12" s="54">
        <v>0</v>
      </c>
      <c r="E12" s="50">
        <v>0</v>
      </c>
      <c r="F12" s="50"/>
      <c r="G12" s="50"/>
      <c r="H12" s="50">
        <v>0</v>
      </c>
      <c r="I12" s="50">
        <v>0</v>
      </c>
      <c r="J12" s="81">
        <f t="shared" si="0"/>
        <v>0</v>
      </c>
      <c r="K12" s="11"/>
      <c r="L12" s="12" t="e">
        <f>IF(J12&gt;0,#REF!+#REF!+J12-#REF!,#REF!+#REF!-#REF!)</f>
        <v>#REF!</v>
      </c>
    </row>
    <row r="13" spans="1:13" s="1" customFormat="1" ht="15" customHeight="1" x14ac:dyDescent="0.35">
      <c r="A13" s="13">
        <v>3122</v>
      </c>
      <c r="B13" s="14" t="s">
        <v>9</v>
      </c>
      <c r="C13" s="14">
        <v>983100006</v>
      </c>
      <c r="D13" s="53">
        <v>97860.229999999981</v>
      </c>
      <c r="E13" s="57">
        <v>427355</v>
      </c>
      <c r="F13" s="57"/>
      <c r="G13" s="57">
        <v>1633196.56</v>
      </c>
      <c r="H13" s="83">
        <v>226124.56</v>
      </c>
      <c r="I13" s="83">
        <v>1334706.1200000003</v>
      </c>
      <c r="J13" s="81">
        <f t="shared" si="0"/>
        <v>299090.67</v>
      </c>
      <c r="K13" s="11"/>
      <c r="L13" s="15" t="e">
        <f>IF(J13&gt;0,#REF!+#REF!+J13-#REF!,#REF!+#REF!-#REF!)</f>
        <v>#REF!</v>
      </c>
    </row>
    <row r="14" spans="1:13" s="1" customFormat="1" ht="15" customHeight="1" x14ac:dyDescent="0.35">
      <c r="A14" s="13">
        <v>3123</v>
      </c>
      <c r="B14" s="14" t="s">
        <v>10</v>
      </c>
      <c r="C14" s="14">
        <v>983100007</v>
      </c>
      <c r="D14" s="53">
        <v>670154.2899999998</v>
      </c>
      <c r="E14" s="57">
        <v>1236637</v>
      </c>
      <c r="F14" s="57"/>
      <c r="G14" s="48">
        <v>3188004.97</v>
      </c>
      <c r="H14" s="83">
        <v>1568932.22</v>
      </c>
      <c r="I14" s="83">
        <v>3847542.1100000022</v>
      </c>
      <c r="J14" s="81">
        <f t="shared" si="0"/>
        <v>337859.06999999983</v>
      </c>
      <c r="K14" s="11"/>
      <c r="L14" s="15" t="e">
        <f>IF(J14&gt;0,#REF!+#REF!+J14-#REF!,#REF!+#REF!-#REF!)</f>
        <v>#REF!</v>
      </c>
    </row>
    <row r="15" spans="1:13" s="1" customFormat="1" ht="15" customHeight="1" x14ac:dyDescent="0.35">
      <c r="A15" s="13">
        <v>3125</v>
      </c>
      <c r="B15" s="14" t="s">
        <v>11</v>
      </c>
      <c r="C15" s="14">
        <v>983100008</v>
      </c>
      <c r="D15" s="53">
        <v>185316.16</v>
      </c>
      <c r="E15" s="57">
        <v>33116</v>
      </c>
      <c r="F15" s="57"/>
      <c r="G15" s="57"/>
      <c r="H15" s="83">
        <v>82836.600000000006</v>
      </c>
      <c r="I15" s="83">
        <v>0</v>
      </c>
      <c r="J15" s="81">
        <f t="shared" si="0"/>
        <v>135595.56</v>
      </c>
      <c r="K15" s="11"/>
      <c r="L15" s="15" t="e">
        <f>IF(J15&gt;0,#REF!+#REF!+J15-#REF!,#REF!+#REF!-#REF!)</f>
        <v>#REF!</v>
      </c>
    </row>
    <row r="16" spans="1:13" s="1" customFormat="1" ht="15" customHeight="1" x14ac:dyDescent="0.35">
      <c r="A16" s="13">
        <v>3127</v>
      </c>
      <c r="B16" s="14" t="s">
        <v>12</v>
      </c>
      <c r="C16" s="14">
        <v>983100009</v>
      </c>
      <c r="D16" s="53">
        <v>121585.13</v>
      </c>
      <c r="E16" s="57">
        <v>62589</v>
      </c>
      <c r="F16" s="57"/>
      <c r="G16" s="57">
        <v>39869.5</v>
      </c>
      <c r="H16" s="83">
        <v>0</v>
      </c>
      <c r="I16" s="83">
        <v>40407.699999999997</v>
      </c>
      <c r="J16" s="81">
        <f t="shared" si="0"/>
        <v>184174.13</v>
      </c>
      <c r="K16" s="11"/>
      <c r="L16" s="15" t="e">
        <f>IF(J16&gt;0,#REF!+#REF!+J16-#REF!,#REF!+#REF!-#REF!)</f>
        <v>#REF!</v>
      </c>
    </row>
    <row r="17" spans="1:12" s="1" customFormat="1" ht="15" customHeight="1" x14ac:dyDescent="0.35">
      <c r="A17" s="13">
        <v>3130</v>
      </c>
      <c r="B17" s="16" t="s">
        <v>13</v>
      </c>
      <c r="C17" s="18"/>
      <c r="D17" s="54">
        <v>0</v>
      </c>
      <c r="E17" s="50">
        <v>0</v>
      </c>
      <c r="F17" s="50"/>
      <c r="G17" s="50"/>
      <c r="H17" s="50">
        <v>0</v>
      </c>
      <c r="I17" s="50">
        <v>0</v>
      </c>
      <c r="J17" s="81">
        <f t="shared" si="0"/>
        <v>0</v>
      </c>
      <c r="K17" s="11"/>
      <c r="L17" s="12" t="e">
        <f>IF(J17&gt;0,#REF!+#REF!+J17-#REF!,#REF!+#REF!-#REF!)</f>
        <v>#REF!</v>
      </c>
    </row>
    <row r="18" spans="1:12" s="1" customFormat="1" ht="15" customHeight="1" x14ac:dyDescent="0.35">
      <c r="A18" s="13">
        <v>3131</v>
      </c>
      <c r="B18" s="14" t="s">
        <v>14</v>
      </c>
      <c r="C18" s="14">
        <v>9831000010</v>
      </c>
      <c r="D18" s="53">
        <v>1283595.2</v>
      </c>
      <c r="E18" s="48">
        <v>257983.7</v>
      </c>
      <c r="F18" s="48"/>
      <c r="G18" s="48"/>
      <c r="H18" s="83">
        <v>66404.800000000003</v>
      </c>
      <c r="I18" s="83">
        <v>0</v>
      </c>
      <c r="J18" s="81">
        <f t="shared" si="0"/>
        <v>1475174.0999999999</v>
      </c>
      <c r="K18" s="11"/>
      <c r="L18" s="15" t="e">
        <f>IF(J18&gt;0,#REF!+#REF!+J18-#REF!,#REF!+#REF!-#REF!)</f>
        <v>#REF!</v>
      </c>
    </row>
    <row r="19" spans="1:12" s="1" customFormat="1" ht="15" customHeight="1" x14ac:dyDescent="0.35">
      <c r="A19" s="13">
        <v>3132</v>
      </c>
      <c r="B19" s="14" t="s">
        <v>15</v>
      </c>
      <c r="C19" s="14">
        <v>9831000011</v>
      </c>
      <c r="D19" s="53">
        <v>2745610.23</v>
      </c>
      <c r="E19" s="57">
        <v>1498746</v>
      </c>
      <c r="F19" s="57"/>
      <c r="G19" s="48">
        <v>2318047.91</v>
      </c>
      <c r="H19" s="83">
        <v>3617595.02</v>
      </c>
      <c r="I19" s="83">
        <v>2545090.17</v>
      </c>
      <c r="J19" s="81">
        <f t="shared" si="0"/>
        <v>626761.21000000043</v>
      </c>
      <c r="K19" s="11"/>
      <c r="L19" s="15" t="e">
        <f>IF(J19&gt;0,#REF!+#REF!+J19-#REF!,#REF!+#REF!-#REF!)</f>
        <v>#REF!</v>
      </c>
    </row>
    <row r="20" spans="1:12" s="1" customFormat="1" ht="15" customHeight="1" x14ac:dyDescent="0.35">
      <c r="A20" s="13">
        <v>3133</v>
      </c>
      <c r="B20" s="14" t="s">
        <v>16</v>
      </c>
      <c r="C20" s="14">
        <v>9831000012</v>
      </c>
      <c r="D20" s="53">
        <v>513488.19</v>
      </c>
      <c r="E20" s="57">
        <v>367692</v>
      </c>
      <c r="F20" s="57"/>
      <c r="G20" s="29">
        <v>2303327.4500000002</v>
      </c>
      <c r="H20" s="83">
        <v>712700.74</v>
      </c>
      <c r="I20" s="83">
        <v>1401454.8</v>
      </c>
      <c r="J20" s="81">
        <f t="shared" si="0"/>
        <v>168479.44999999995</v>
      </c>
      <c r="K20" s="11"/>
      <c r="L20" s="15" t="e">
        <f>IF(J20&gt;0,#REF!+#REF!+J20-#REF!,#REF!+#REF!-#REF!)</f>
        <v>#REF!</v>
      </c>
    </row>
    <row r="21" spans="1:12" s="1" customFormat="1" ht="15" customHeight="1" x14ac:dyDescent="0.35">
      <c r="A21" s="13">
        <v>3134</v>
      </c>
      <c r="B21" s="14" t="s">
        <v>17</v>
      </c>
      <c r="C21" s="14">
        <v>9831000013</v>
      </c>
      <c r="D21" s="53">
        <v>-1355999.5899999996</v>
      </c>
      <c r="E21" s="57">
        <v>1116364</v>
      </c>
      <c r="F21" s="57"/>
      <c r="G21" s="57"/>
      <c r="H21" s="83">
        <v>0</v>
      </c>
      <c r="I21" s="83">
        <v>0</v>
      </c>
      <c r="J21" s="81">
        <f t="shared" si="0"/>
        <v>-239635.58999999962</v>
      </c>
      <c r="K21" s="101" t="s">
        <v>71</v>
      </c>
      <c r="L21" s="15" t="e">
        <f>IF(J21&gt;0,#REF!+#REF!+J21-#REF!,#REF!+#REF!-#REF!)</f>
        <v>#REF!</v>
      </c>
    </row>
    <row r="22" spans="1:12" s="1" customFormat="1" ht="15" customHeight="1" x14ac:dyDescent="0.35">
      <c r="A22" s="13">
        <v>3135</v>
      </c>
      <c r="B22" s="14" t="s">
        <v>18</v>
      </c>
      <c r="C22" s="14">
        <v>9831000014</v>
      </c>
      <c r="D22" s="53">
        <v>515679.74000000005</v>
      </c>
      <c r="E22" s="57">
        <v>507616</v>
      </c>
      <c r="F22" s="57"/>
      <c r="G22" s="57">
        <v>306561.73</v>
      </c>
      <c r="H22" s="83">
        <v>0</v>
      </c>
      <c r="I22" s="83">
        <v>378280.24</v>
      </c>
      <c r="J22" s="81">
        <f t="shared" si="0"/>
        <v>1023295.74</v>
      </c>
      <c r="K22" s="11"/>
      <c r="L22" s="15" t="e">
        <f>IF(J22&gt;0,#REF!+#REF!+J22-#REF!,#REF!+#REF!-#REF!)</f>
        <v>#REF!</v>
      </c>
    </row>
    <row r="23" spans="1:12" s="1" customFormat="1" ht="15" customHeight="1" x14ac:dyDescent="0.35">
      <c r="A23" s="13">
        <v>3140</v>
      </c>
      <c r="B23" s="16" t="s">
        <v>19</v>
      </c>
      <c r="C23" s="18"/>
      <c r="D23" s="54">
        <v>0</v>
      </c>
      <c r="E23" s="50">
        <v>0</v>
      </c>
      <c r="F23" s="50"/>
      <c r="G23" s="50"/>
      <c r="H23" s="50">
        <v>0</v>
      </c>
      <c r="I23" s="50">
        <v>0</v>
      </c>
      <c r="J23" s="81">
        <f t="shared" si="0"/>
        <v>0</v>
      </c>
      <c r="K23" s="11"/>
      <c r="L23" s="12" t="e">
        <f>IF(J23&gt;0,#REF!+#REF!+J23-#REF!,#REF!+#REF!-#REF!)</f>
        <v>#REF!</v>
      </c>
    </row>
    <row r="24" spans="1:12" s="1" customFormat="1" ht="15" customHeight="1" x14ac:dyDescent="0.35">
      <c r="A24" s="13">
        <v>3141</v>
      </c>
      <c r="B24" s="14" t="s">
        <v>20</v>
      </c>
      <c r="C24" s="14">
        <v>9831000015</v>
      </c>
      <c r="D24" s="53">
        <v>555144</v>
      </c>
      <c r="E24" s="57">
        <v>257361</v>
      </c>
      <c r="F24" s="126">
        <v>-130000</v>
      </c>
      <c r="G24" s="57">
        <v>3569.5</v>
      </c>
      <c r="H24" s="83">
        <v>95820.47</v>
      </c>
      <c r="I24" s="83">
        <v>3569.5</v>
      </c>
      <c r="J24" s="81">
        <f t="shared" si="0"/>
        <v>586684.53</v>
      </c>
      <c r="K24" s="11"/>
      <c r="L24" s="15" t="e">
        <f>IF(J24&gt;0,#REF!+#REF!+J24-#REF!,#REF!+#REF!-#REF!)</f>
        <v>#REF!</v>
      </c>
    </row>
    <row r="25" spans="1:12" s="1" customFormat="1" ht="15" customHeight="1" x14ac:dyDescent="0.35">
      <c r="A25" s="13">
        <v>3142</v>
      </c>
      <c r="B25" s="14" t="s">
        <v>21</v>
      </c>
      <c r="C25" s="14">
        <v>9831000016</v>
      </c>
      <c r="D25" s="53">
        <v>127331.01000000001</v>
      </c>
      <c r="E25" s="57">
        <v>1272971</v>
      </c>
      <c r="F25" s="126">
        <f>130000+558309.3</f>
        <v>688309.3</v>
      </c>
      <c r="G25" s="48"/>
      <c r="H25" s="83">
        <v>1390769.12</v>
      </c>
      <c r="I25" s="83">
        <v>0</v>
      </c>
      <c r="J25" s="81">
        <f t="shared" si="0"/>
        <v>697842.19</v>
      </c>
      <c r="K25" s="11"/>
      <c r="L25" s="15" t="e">
        <f>IF(J25&gt;0,#REF!+#REF!+J25-#REF!,#REF!+#REF!-#REF!)</f>
        <v>#REF!</v>
      </c>
    </row>
    <row r="26" spans="1:12" s="1" customFormat="1" ht="15" customHeight="1" x14ac:dyDescent="0.35">
      <c r="A26" s="13">
        <v>3143</v>
      </c>
      <c r="B26" s="14" t="s">
        <v>22</v>
      </c>
      <c r="C26" s="14">
        <v>9831000017</v>
      </c>
      <c r="D26" s="53">
        <v>1217457.7400000002</v>
      </c>
      <c r="E26" s="57">
        <v>592586.22</v>
      </c>
      <c r="F26" s="57"/>
      <c r="G26" s="57"/>
      <c r="H26" s="83">
        <v>65340</v>
      </c>
      <c r="I26" s="83">
        <v>0</v>
      </c>
      <c r="J26" s="81">
        <f t="shared" si="0"/>
        <v>1744703.9600000002</v>
      </c>
      <c r="K26" s="11"/>
      <c r="L26" s="15" t="e">
        <f>IF(J26&gt;0,#REF!+#REF!+J26-#REF!,#REF!+#REF!-#REF!)</f>
        <v>#REF!</v>
      </c>
    </row>
    <row r="27" spans="1:12" s="1" customFormat="1" ht="15" customHeight="1" x14ac:dyDescent="0.35">
      <c r="A27" s="13">
        <v>3144</v>
      </c>
      <c r="B27" s="14" t="s">
        <v>23</v>
      </c>
      <c r="C27" s="14">
        <v>9831000018</v>
      </c>
      <c r="D27" s="53">
        <v>70012</v>
      </c>
      <c r="E27" s="57">
        <v>65613</v>
      </c>
      <c r="F27" s="57"/>
      <c r="G27" s="57"/>
      <c r="H27" s="83">
        <v>72794.78</v>
      </c>
      <c r="I27" s="83">
        <v>49095.65</v>
      </c>
      <c r="J27" s="81">
        <f t="shared" si="0"/>
        <v>62830.22</v>
      </c>
      <c r="K27" s="11"/>
      <c r="L27" s="15" t="e">
        <f>IF(J27&gt;0,#REF!+#REF!+J27-#REF!,#REF!+#REF!-#REF!)</f>
        <v>#REF!</v>
      </c>
    </row>
    <row r="28" spans="1:12" s="1" customFormat="1" ht="15" customHeight="1" x14ac:dyDescent="0.35">
      <c r="A28" s="13">
        <v>3145</v>
      </c>
      <c r="B28" s="14" t="s">
        <v>24</v>
      </c>
      <c r="C28" s="14">
        <v>9831000019</v>
      </c>
      <c r="D28" s="53">
        <v>30534.600000000326</v>
      </c>
      <c r="E28" s="57">
        <v>1720224</v>
      </c>
      <c r="F28" s="57"/>
      <c r="G28" s="48"/>
      <c r="H28" s="83">
        <v>134612.5</v>
      </c>
      <c r="I28" s="83">
        <v>0</v>
      </c>
      <c r="J28" s="81">
        <f t="shared" si="0"/>
        <v>1616146.1000000003</v>
      </c>
      <c r="K28" s="11"/>
      <c r="L28" s="15" t="e">
        <f>IF(J28&gt;0,#REF!+#REF!+J28-#REF!,#REF!+#REF!-#REF!)</f>
        <v>#REF!</v>
      </c>
    </row>
    <row r="29" spans="1:12" s="1" customFormat="1" ht="15" customHeight="1" x14ac:dyDescent="0.35">
      <c r="A29" s="13">
        <v>3150</v>
      </c>
      <c r="B29" s="16" t="s">
        <v>25</v>
      </c>
      <c r="C29" s="18"/>
      <c r="D29" s="54">
        <v>0</v>
      </c>
      <c r="E29" s="50">
        <v>0</v>
      </c>
      <c r="F29" s="50"/>
      <c r="G29" s="50"/>
      <c r="H29" s="50">
        <v>0</v>
      </c>
      <c r="I29" s="50">
        <v>0</v>
      </c>
      <c r="J29" s="81">
        <f t="shared" si="0"/>
        <v>0</v>
      </c>
      <c r="K29" s="11"/>
      <c r="L29" s="12" t="e">
        <f>IF(J29&gt;0,#REF!+#REF!+J29-#REF!,#REF!+#REF!-#REF!)</f>
        <v>#REF!</v>
      </c>
    </row>
    <row r="30" spans="1:12" s="1" customFormat="1" ht="15" customHeight="1" x14ac:dyDescent="0.35">
      <c r="A30" s="13">
        <v>3151</v>
      </c>
      <c r="B30" s="14" t="s">
        <v>26</v>
      </c>
      <c r="C30" s="14">
        <v>9831000020</v>
      </c>
      <c r="D30" s="53">
        <v>138931</v>
      </c>
      <c r="E30" s="57">
        <v>34733</v>
      </c>
      <c r="F30" s="57"/>
      <c r="G30" s="57"/>
      <c r="H30" s="83">
        <v>0</v>
      </c>
      <c r="I30" s="83">
        <v>0</v>
      </c>
      <c r="J30" s="81">
        <f t="shared" si="0"/>
        <v>173664</v>
      </c>
      <c r="K30" s="11"/>
      <c r="L30" s="15" t="e">
        <f>IF(J30&gt;0,#REF!+#REF!+J30-#REF!,#REF!+#REF!-#REF!)</f>
        <v>#REF!</v>
      </c>
    </row>
    <row r="31" spans="1:12" s="1" customFormat="1" ht="15" customHeight="1" x14ac:dyDescent="0.35">
      <c r="A31" s="13">
        <v>3152</v>
      </c>
      <c r="B31" s="14" t="s">
        <v>27</v>
      </c>
      <c r="C31" s="14">
        <v>9831000021</v>
      </c>
      <c r="D31" s="53">
        <v>279066</v>
      </c>
      <c r="E31" s="57">
        <v>379072</v>
      </c>
      <c r="F31" s="57"/>
      <c r="G31" s="48"/>
      <c r="H31" s="83">
        <v>0</v>
      </c>
      <c r="I31" s="83">
        <v>0</v>
      </c>
      <c r="J31" s="81">
        <f t="shared" si="0"/>
        <v>658138</v>
      </c>
      <c r="K31" s="11"/>
      <c r="L31" s="15" t="e">
        <f>IF(J31&gt;0,#REF!+#REF!+J31-#REF!,#REF!+#REF!-#REF!)</f>
        <v>#REF!</v>
      </c>
    </row>
    <row r="32" spans="1:12" s="1" customFormat="1" ht="15" customHeight="1" x14ac:dyDescent="0.35">
      <c r="A32" s="13">
        <v>3153</v>
      </c>
      <c r="B32" s="14" t="s">
        <v>28</v>
      </c>
      <c r="C32" s="14">
        <v>9831000022</v>
      </c>
      <c r="D32" s="53">
        <v>34581</v>
      </c>
      <c r="E32" s="57">
        <v>5199</v>
      </c>
      <c r="F32" s="57"/>
      <c r="G32" s="57"/>
      <c r="H32" s="83">
        <v>40268.800000000003</v>
      </c>
      <c r="I32" s="83">
        <v>0</v>
      </c>
      <c r="J32" s="81">
        <f t="shared" si="0"/>
        <v>-488.80000000000291</v>
      </c>
      <c r="K32" s="17"/>
      <c r="L32" s="15" t="e">
        <f>IF(J32&gt;0,#REF!+#REF!+J32-#REF!,#REF!+#REF!-#REF!)</f>
        <v>#REF!</v>
      </c>
    </row>
    <row r="33" spans="1:12" s="1" customFormat="1" ht="15" customHeight="1" x14ac:dyDescent="0.35">
      <c r="A33" s="13">
        <v>3154</v>
      </c>
      <c r="B33" s="14" t="s">
        <v>29</v>
      </c>
      <c r="C33" s="14">
        <v>9831000023</v>
      </c>
      <c r="D33" s="53">
        <v>-3</v>
      </c>
      <c r="E33" s="57">
        <v>1</v>
      </c>
      <c r="F33" s="57"/>
      <c r="G33" s="57"/>
      <c r="H33" s="83">
        <v>0</v>
      </c>
      <c r="I33" s="83">
        <v>0</v>
      </c>
      <c r="J33" s="81">
        <f t="shared" si="0"/>
        <v>-2</v>
      </c>
      <c r="K33" s="17"/>
      <c r="L33" s="15" t="e">
        <f>IF(J33&gt;0,#REF!+#REF!+J33-#REF!,#REF!+#REF!-#REF!)</f>
        <v>#REF!</v>
      </c>
    </row>
    <row r="34" spans="1:12" s="1" customFormat="1" ht="15" customHeight="1" x14ac:dyDescent="0.35">
      <c r="A34" s="13">
        <v>3137</v>
      </c>
      <c r="B34" s="18" t="s">
        <v>30</v>
      </c>
      <c r="C34" s="18">
        <v>9831000024</v>
      </c>
      <c r="D34" s="55">
        <v>610193.82999999996</v>
      </c>
      <c r="E34" s="50">
        <v>5814</v>
      </c>
      <c r="F34" s="126">
        <v>-558309.30000000005</v>
      </c>
      <c r="G34" s="50"/>
      <c r="H34" s="50">
        <v>52077.58</v>
      </c>
      <c r="I34" s="50">
        <v>0</v>
      </c>
      <c r="J34" s="81">
        <f t="shared" si="0"/>
        <v>5620.9499999999098</v>
      </c>
      <c r="K34" s="17"/>
      <c r="L34" s="12" t="e">
        <f>IF(J34&gt;0,#REF!+#REF!+J34-#REF!,#REF!+#REF!-#REF!)</f>
        <v>#REF!</v>
      </c>
    </row>
    <row r="35" spans="1:12" s="1" customFormat="1" ht="15" customHeight="1" x14ac:dyDescent="0.35">
      <c r="A35" s="13">
        <v>3701</v>
      </c>
      <c r="B35" s="14" t="s">
        <v>31</v>
      </c>
      <c r="C35" s="14">
        <v>98310000241</v>
      </c>
      <c r="D35" s="53">
        <v>80974.170000000013</v>
      </c>
      <c r="E35" s="49">
        <v>220473</v>
      </c>
      <c r="F35" s="49"/>
      <c r="G35" s="49">
        <v>407180.29</v>
      </c>
      <c r="H35" s="83">
        <v>301234.92</v>
      </c>
      <c r="I35" s="83">
        <v>407719.49</v>
      </c>
      <c r="J35" s="81">
        <f t="shared" si="0"/>
        <v>212.25000000005821</v>
      </c>
      <c r="K35" s="17"/>
      <c r="L35" s="19" t="e">
        <f>IF(J35&gt;0,#REF!+#REF!+J35-#REF!,#REF!+#REF!-#REF!)</f>
        <v>#REF!</v>
      </c>
    </row>
    <row r="36" spans="1:12" s="1" customFormat="1" ht="15" customHeight="1" x14ac:dyDescent="0.35">
      <c r="A36" s="13">
        <v>3702</v>
      </c>
      <c r="B36" s="14" t="s">
        <v>32</v>
      </c>
      <c r="C36" s="14">
        <v>98310000242</v>
      </c>
      <c r="D36" s="53">
        <v>12728.659999999654</v>
      </c>
      <c r="E36" s="57">
        <v>1067196</v>
      </c>
      <c r="F36" s="57"/>
      <c r="G36" s="48">
        <v>1370750</v>
      </c>
      <c r="H36" s="83">
        <v>243.88</v>
      </c>
      <c r="I36" s="83">
        <v>1370750</v>
      </c>
      <c r="J36" s="81">
        <f t="shared" si="0"/>
        <v>1079680.7799999998</v>
      </c>
      <c r="K36" s="17"/>
      <c r="L36" s="15" t="e">
        <f>IF(J36&gt;0,#REF!+#REF!+J36-#REF!,#REF!+#REF!-#REF!)</f>
        <v>#REF!</v>
      </c>
    </row>
    <row r="37" spans="1:12" s="1" customFormat="1" ht="15" customHeight="1" x14ac:dyDescent="0.35">
      <c r="A37" s="13">
        <v>3703</v>
      </c>
      <c r="B37" s="14" t="s">
        <v>33</v>
      </c>
      <c r="C37" s="14">
        <v>98310000243</v>
      </c>
      <c r="D37" s="53">
        <v>39894.169999999984</v>
      </c>
      <c r="E37" s="57">
        <v>970491.21</v>
      </c>
      <c r="F37" s="57"/>
      <c r="G37" s="48">
        <v>81258.06</v>
      </c>
      <c r="H37" s="83">
        <v>879658.5</v>
      </c>
      <c r="I37" s="83">
        <v>81989.700000000012</v>
      </c>
      <c r="J37" s="81">
        <f t="shared" si="0"/>
        <v>130726.87999999989</v>
      </c>
      <c r="K37" s="17"/>
      <c r="L37" s="15" t="e">
        <f>IF(J37&gt;0,#REF!+#REF!+J37-#REF!,#REF!+#REF!-#REF!)</f>
        <v>#REF!</v>
      </c>
    </row>
    <row r="38" spans="1:12" s="1" customFormat="1" ht="15" customHeight="1" x14ac:dyDescent="0.35">
      <c r="A38" s="13">
        <v>3704</v>
      </c>
      <c r="B38" s="14" t="s">
        <v>34</v>
      </c>
      <c r="C38" s="14">
        <v>98310000244</v>
      </c>
      <c r="D38" s="53">
        <v>585042.03</v>
      </c>
      <c r="E38" s="57">
        <v>606265</v>
      </c>
      <c r="F38" s="57"/>
      <c r="G38" s="57">
        <v>339922.52</v>
      </c>
      <c r="H38" s="83">
        <v>1347521.98</v>
      </c>
      <c r="I38" s="83">
        <v>339190.91000000003</v>
      </c>
      <c r="J38" s="81">
        <f t="shared" si="0"/>
        <v>-156214.94999999995</v>
      </c>
      <c r="K38" s="17"/>
      <c r="L38" s="15" t="e">
        <f>IF(J38&gt;0,#REF!+#REF!+J38-#REF!,#REF!+#REF!-#REF!)</f>
        <v>#REF!</v>
      </c>
    </row>
    <row r="39" spans="1:12" s="1" customFormat="1" ht="15" customHeight="1" x14ac:dyDescent="0.35">
      <c r="A39" s="13">
        <v>3705</v>
      </c>
      <c r="B39" s="14" t="s">
        <v>35</v>
      </c>
      <c r="C39" s="14">
        <v>98310000245</v>
      </c>
      <c r="D39" s="53">
        <v>1128492.9500000007</v>
      </c>
      <c r="E39" s="57">
        <v>1551684</v>
      </c>
      <c r="F39" s="57"/>
      <c r="G39" s="48"/>
      <c r="H39" s="83">
        <v>2289940.7199999997</v>
      </c>
      <c r="I39" s="83">
        <v>0</v>
      </c>
      <c r="J39" s="81">
        <f t="shared" si="0"/>
        <v>390236.23000000091</v>
      </c>
      <c r="K39" s="17"/>
      <c r="L39" s="15" t="e">
        <f>IF(J39&gt;0,#REF!+#REF!+J39-#REF!,#REF!+#REF!-#REF!)</f>
        <v>#REF!</v>
      </c>
    </row>
    <row r="40" spans="1:12" s="1" customFormat="1" ht="15.5" x14ac:dyDescent="0.35">
      <c r="A40" s="13">
        <v>3706</v>
      </c>
      <c r="B40" s="14" t="s">
        <v>36</v>
      </c>
      <c r="C40" s="14">
        <v>98310000246</v>
      </c>
      <c r="D40" s="53">
        <v>106105.13</v>
      </c>
      <c r="E40" s="57">
        <v>65085</v>
      </c>
      <c r="F40" s="57"/>
      <c r="G40" s="57"/>
      <c r="H40" s="83">
        <v>103816.54000000001</v>
      </c>
      <c r="I40" s="83">
        <v>0</v>
      </c>
      <c r="J40" s="81">
        <f t="shared" si="0"/>
        <v>67373.59</v>
      </c>
      <c r="K40" s="17"/>
      <c r="L40" s="15" t="e">
        <f>IF(J40&gt;0,#REF!+#REF!+J40-#REF!,#REF!+#REF!-#REF!)</f>
        <v>#REF!</v>
      </c>
    </row>
    <row r="41" spans="1:12" s="1" customFormat="1" ht="15" customHeight="1" x14ac:dyDescent="0.35">
      <c r="A41" s="13">
        <v>3720</v>
      </c>
      <c r="B41" s="18" t="s">
        <v>37</v>
      </c>
      <c r="C41" s="18">
        <v>9831000025</v>
      </c>
      <c r="D41" s="55">
        <v>-3.0000000002328306</v>
      </c>
      <c r="E41" s="50">
        <v>-2</v>
      </c>
      <c r="F41" s="50"/>
      <c r="G41" s="50">
        <v>997906</v>
      </c>
      <c r="H41" s="50">
        <v>0</v>
      </c>
      <c r="I41" s="50">
        <v>997906</v>
      </c>
      <c r="J41" s="81">
        <f t="shared" si="0"/>
        <v>-5.0000000002328306</v>
      </c>
      <c r="K41" s="17"/>
      <c r="L41" s="15" t="e">
        <f>IF(J42&gt;0,#REF!+#REF!+J42-#REF!,#REF!+#REF!-#REF!)</f>
        <v>#REF!</v>
      </c>
    </row>
    <row r="42" spans="1:12" s="1" customFormat="1" ht="15" customHeight="1" x14ac:dyDescent="0.35">
      <c r="A42" s="13">
        <v>3721</v>
      </c>
      <c r="B42" s="14" t="s">
        <v>38</v>
      </c>
      <c r="C42" s="14">
        <v>98310000251</v>
      </c>
      <c r="D42" s="53">
        <v>4362590.83</v>
      </c>
      <c r="E42" s="57">
        <v>286501</v>
      </c>
      <c r="F42" s="57"/>
      <c r="G42" s="48">
        <v>978807.88</v>
      </c>
      <c r="H42" s="83">
        <v>1054479.22</v>
      </c>
      <c r="I42" s="83">
        <v>978807.88</v>
      </c>
      <c r="J42" s="81">
        <f t="shared" si="0"/>
        <v>3594612.6100000003</v>
      </c>
      <c r="K42" s="17"/>
      <c r="L42" s="15" t="e">
        <f>IF(J43&gt;0,#REF!+#REF!+J43-#REF!,#REF!+#REF!-#REF!)</f>
        <v>#REF!</v>
      </c>
    </row>
    <row r="43" spans="1:12" s="1" customFormat="1" ht="15" customHeight="1" x14ac:dyDescent="0.35">
      <c r="A43" s="13">
        <v>3722</v>
      </c>
      <c r="B43" s="14" t="s">
        <v>39</v>
      </c>
      <c r="C43" s="14">
        <v>98310000252</v>
      </c>
      <c r="D43" s="53">
        <v>1565801.7300000002</v>
      </c>
      <c r="E43" s="110">
        <v>-3453</v>
      </c>
      <c r="F43" s="48"/>
      <c r="G43" s="57">
        <v>4164784.5</v>
      </c>
      <c r="H43" s="98">
        <v>2246106.87</v>
      </c>
      <c r="I43" s="83">
        <v>4164784.5</v>
      </c>
      <c r="J43" s="81">
        <f t="shared" si="0"/>
        <v>-683758.1399999999</v>
      </c>
      <c r="K43" s="17"/>
      <c r="L43" s="15" t="e">
        <f>IF(J44&gt;0,#REF!+#REF!+J44-#REF!,#REF!+#REF!-#REF!)</f>
        <v>#REF!</v>
      </c>
    </row>
    <row r="44" spans="1:12" s="1" customFormat="1" ht="15" customHeight="1" x14ac:dyDescent="0.35">
      <c r="A44" s="13">
        <v>3723</v>
      </c>
      <c r="B44" s="14" t="s">
        <v>40</v>
      </c>
      <c r="C44" s="14">
        <v>98310000253</v>
      </c>
      <c r="D44" s="53">
        <v>162474.99999999988</v>
      </c>
      <c r="E44" s="110">
        <v>1036716</v>
      </c>
      <c r="F44" s="48"/>
      <c r="G44" s="48">
        <v>5642480.3600000003</v>
      </c>
      <c r="H44" s="98">
        <v>331000</v>
      </c>
      <c r="I44" s="83">
        <v>5642480.3599999985</v>
      </c>
      <c r="J44" s="81">
        <f t="shared" si="0"/>
        <v>868191</v>
      </c>
      <c r="K44" s="17"/>
      <c r="L44" s="15" t="e">
        <f>IF(J45&gt;0,#REF!+#REF!+J45-#REF!,#REF!+#REF!-#REF!)</f>
        <v>#REF!</v>
      </c>
    </row>
    <row r="45" spans="1:12" s="1" customFormat="1" ht="15" customHeight="1" x14ac:dyDescent="0.35">
      <c r="A45" s="13">
        <v>3724</v>
      </c>
      <c r="B45" s="14" t="s">
        <v>41</v>
      </c>
      <c r="C45" s="14">
        <v>98310000254</v>
      </c>
      <c r="D45" s="53">
        <v>9770</v>
      </c>
      <c r="E45" s="57">
        <v>673093</v>
      </c>
      <c r="F45" s="57"/>
      <c r="G45" s="57"/>
      <c r="H45" s="98">
        <v>0</v>
      </c>
      <c r="I45" s="83">
        <v>74020.5</v>
      </c>
      <c r="J45" s="81">
        <f t="shared" si="0"/>
        <v>682863</v>
      </c>
      <c r="K45" s="17"/>
      <c r="L45" s="15" t="e">
        <f>IF(J46&gt;0,#REF!+#REF!+J46-#REF!,#REF!+#REF!-#REF!)</f>
        <v>#REF!</v>
      </c>
    </row>
    <row r="46" spans="1:12" s="1" customFormat="1" ht="15" customHeight="1" x14ac:dyDescent="0.35">
      <c r="A46" s="13">
        <v>3725</v>
      </c>
      <c r="B46" s="14" t="s">
        <v>42</v>
      </c>
      <c r="C46" s="14">
        <v>98310000255</v>
      </c>
      <c r="D46" s="53">
        <v>103246.46000000002</v>
      </c>
      <c r="E46" s="57">
        <v>274149</v>
      </c>
      <c r="F46" s="57"/>
      <c r="G46" s="57"/>
      <c r="H46" s="98">
        <v>0</v>
      </c>
      <c r="I46" s="83">
        <v>0</v>
      </c>
      <c r="J46" s="81">
        <f t="shared" si="0"/>
        <v>377395.46</v>
      </c>
      <c r="K46" s="17"/>
      <c r="L46" s="15" t="e">
        <f>IF(J47&gt;0,#REF!+#REF!+J47-#REF!,#REF!+#REF!-#REF!)</f>
        <v>#REF!</v>
      </c>
    </row>
    <row r="47" spans="1:12" s="1" customFormat="1" ht="15" customHeight="1" x14ac:dyDescent="0.35">
      <c r="A47" s="13">
        <v>3726</v>
      </c>
      <c r="B47" s="14" t="s">
        <v>43</v>
      </c>
      <c r="C47" s="14">
        <v>98310000256</v>
      </c>
      <c r="D47" s="53">
        <v>714560.05</v>
      </c>
      <c r="E47" s="57">
        <v>504566</v>
      </c>
      <c r="F47" s="124">
        <v>493470</v>
      </c>
      <c r="G47" s="57">
        <f>548300</f>
        <v>548300</v>
      </c>
      <c r="H47" s="98">
        <v>1787309.81</v>
      </c>
      <c r="I47" s="83">
        <v>1450172.65</v>
      </c>
      <c r="J47" s="81">
        <f t="shared" si="0"/>
        <v>-74713.760000000009</v>
      </c>
      <c r="K47" s="17"/>
      <c r="L47" s="15" t="e">
        <f>IF(J48&gt;0,#REF!+#REF!+J48-#REF!,#REF!+#REF!-#REF!)</f>
        <v>#REF!</v>
      </c>
    </row>
    <row r="48" spans="1:12" s="1" customFormat="1" ht="15" customHeight="1" x14ac:dyDescent="0.35">
      <c r="A48" s="13">
        <v>3727</v>
      </c>
      <c r="B48" s="14" t="s">
        <v>44</v>
      </c>
      <c r="C48" s="14">
        <v>98310000257</v>
      </c>
      <c r="D48" s="53">
        <v>1828368.87</v>
      </c>
      <c r="E48" s="57">
        <v>92600</v>
      </c>
      <c r="F48" s="57"/>
      <c r="G48" s="48">
        <v>1231958.1000000001</v>
      </c>
      <c r="H48" s="98">
        <v>749937.99</v>
      </c>
      <c r="I48" s="83">
        <v>1231958.0999999996</v>
      </c>
      <c r="J48" s="81">
        <f t="shared" si="0"/>
        <v>1171030.8800000001</v>
      </c>
      <c r="K48" s="17"/>
      <c r="L48" s="15" t="e">
        <f>IF(J49&gt;0,#REF!+#REF!+J49-#REF!,#REF!+#REF!-#REF!)</f>
        <v>#REF!</v>
      </c>
    </row>
    <row r="49" spans="1:15" s="1" customFormat="1" ht="15.5" x14ac:dyDescent="0.35">
      <c r="A49" s="13">
        <v>3728</v>
      </c>
      <c r="B49" s="14" t="s">
        <v>45</v>
      </c>
      <c r="C49" s="14">
        <v>98310000258</v>
      </c>
      <c r="D49" s="53">
        <v>-1408</v>
      </c>
      <c r="E49" s="57">
        <v>229</v>
      </c>
      <c r="F49" s="57"/>
      <c r="G49" s="57"/>
      <c r="H49" s="98"/>
      <c r="I49" s="83"/>
      <c r="J49" s="81">
        <f t="shared" si="0"/>
        <v>-1179</v>
      </c>
      <c r="K49" s="43"/>
      <c r="L49" s="15"/>
    </row>
    <row r="50" spans="1:15" s="1" customFormat="1" ht="37.5" customHeight="1" thickBot="1" x14ac:dyDescent="0.4">
      <c r="A50" s="20" t="s">
        <v>77</v>
      </c>
      <c r="B50" s="14" t="s">
        <v>64</v>
      </c>
      <c r="C50" s="14"/>
      <c r="D50" s="53">
        <v>4300960.51</v>
      </c>
      <c r="E50" s="109">
        <f>251600+104163+220092+146245+34261+108160</f>
        <v>864521</v>
      </c>
      <c r="F50" s="109"/>
      <c r="G50" s="57">
        <v>62497626.68</v>
      </c>
      <c r="H50" s="97">
        <f>H55</f>
        <v>3016643.05</v>
      </c>
      <c r="I50" s="88">
        <f>I55</f>
        <v>55395732.409999989</v>
      </c>
      <c r="J50" s="81">
        <f t="shared" si="0"/>
        <v>2148838.46</v>
      </c>
      <c r="K50" s="78"/>
      <c r="L50" s="15" t="e">
        <f>IF(#REF!&gt;0,#REF!+#REF!+#REF!-#REF!,#REF!+#REF!-#REF!)</f>
        <v>#REF!</v>
      </c>
    </row>
    <row r="51" spans="1:15" s="1" customFormat="1" ht="16" thickBot="1" x14ac:dyDescent="0.4">
      <c r="A51" s="21" t="s">
        <v>46</v>
      </c>
      <c r="B51" s="22"/>
      <c r="C51" s="22"/>
      <c r="D51" s="56">
        <f t="shared" ref="D51:J51" si="1">SUM(D8:D50)</f>
        <v>23091865.320000008</v>
      </c>
      <c r="E51" s="56">
        <f t="shared" si="1"/>
        <v>18126599.129999999</v>
      </c>
      <c r="F51" s="56">
        <f t="shared" si="1"/>
        <v>535460.9</v>
      </c>
      <c r="G51" s="58">
        <f t="shared" si="1"/>
        <v>88053552.010000005</v>
      </c>
      <c r="H51" s="96">
        <f t="shared" si="1"/>
        <v>22303007.569999997</v>
      </c>
      <c r="I51" s="58">
        <f t="shared" si="1"/>
        <v>81735658.789999992</v>
      </c>
      <c r="J51" s="58">
        <f t="shared" si="1"/>
        <v>19450917.780000001</v>
      </c>
      <c r="K51" s="17"/>
    </row>
    <row r="52" spans="1:15" ht="17" x14ac:dyDescent="0.4">
      <c r="A52" s="23"/>
      <c r="B52" s="23"/>
      <c r="C52" s="23"/>
      <c r="D52" s="23"/>
      <c r="G52" s="24"/>
      <c r="H52" s="24"/>
      <c r="I52">
        <v>0</v>
      </c>
      <c r="J52" s="26"/>
      <c r="M52" s="66"/>
      <c r="N52" s="66"/>
      <c r="O52" s="66"/>
    </row>
    <row r="53" spans="1:15" ht="15.75" customHeight="1" x14ac:dyDescent="0.35">
      <c r="C53" s="2"/>
      <c r="D53" s="45">
        <f>SUM(D8:D49)</f>
        <v>18790904.810000006</v>
      </c>
      <c r="G53" s="2" t="s">
        <v>67</v>
      </c>
      <c r="H53" s="94">
        <v>2045935.9</v>
      </c>
      <c r="I53" s="89">
        <v>716921.51</v>
      </c>
      <c r="J53" s="2"/>
      <c r="M53" s="66"/>
      <c r="N53" s="66"/>
      <c r="O53" s="66"/>
    </row>
    <row r="54" spans="1:15" x14ac:dyDescent="0.35">
      <c r="C54" s="2"/>
      <c r="D54" s="2"/>
      <c r="G54" s="2" t="s">
        <v>68</v>
      </c>
      <c r="H54" s="93">
        <v>970707.14999999991</v>
      </c>
      <c r="I54" s="89">
        <v>54678810.899999991</v>
      </c>
      <c r="J54" s="2"/>
      <c r="M54" s="66"/>
      <c r="N54" s="66"/>
      <c r="O54" s="66"/>
    </row>
    <row r="55" spans="1:15" x14ac:dyDescent="0.35">
      <c r="C55" s="2"/>
      <c r="D55" s="2"/>
      <c r="G55" s="90"/>
      <c r="H55" s="95">
        <f>SUM(H53:H54)</f>
        <v>3016643.05</v>
      </c>
      <c r="I55" s="91">
        <f>SUM(I53:I54)</f>
        <v>55395732.409999989</v>
      </c>
      <c r="M55" s="66"/>
      <c r="N55" s="86"/>
      <c r="O55" s="66"/>
    </row>
    <row r="56" spans="1:15" x14ac:dyDescent="0.35">
      <c r="C56" s="2"/>
      <c r="D56" s="2"/>
      <c r="G56" s="66"/>
      <c r="I56" s="92"/>
      <c r="M56" s="66"/>
      <c r="N56" s="87"/>
      <c r="O56" s="66"/>
    </row>
    <row r="57" spans="1:15" s="120" customFormat="1" x14ac:dyDescent="0.35">
      <c r="C57" s="120" t="s">
        <v>76</v>
      </c>
      <c r="D57" s="121">
        <f>SUM(D8:D49)</f>
        <v>18790904.810000006</v>
      </c>
      <c r="E57" s="121">
        <f t="shared" ref="E57:J57" si="2">SUM(E8:E49)</f>
        <v>17262078.129999999</v>
      </c>
      <c r="F57" s="121">
        <f t="shared" si="2"/>
        <v>535460.9</v>
      </c>
      <c r="G57" s="121">
        <f t="shared" si="2"/>
        <v>25555925.330000002</v>
      </c>
      <c r="H57" s="121">
        <f t="shared" si="2"/>
        <v>19286364.519999996</v>
      </c>
      <c r="I57" s="121">
        <f t="shared" si="2"/>
        <v>26339926.380000003</v>
      </c>
      <c r="J57" s="121">
        <f t="shared" si="2"/>
        <v>17302079.32</v>
      </c>
      <c r="M57" s="122"/>
      <c r="N57" s="122"/>
      <c r="O57" s="122"/>
    </row>
    <row r="58" spans="1:15" s="120" customFormat="1" x14ac:dyDescent="0.35">
      <c r="C58" s="120" t="s">
        <v>77</v>
      </c>
      <c r="D58" s="121">
        <f>D50</f>
        <v>4300960.51</v>
      </c>
      <c r="E58" s="121">
        <f t="shared" ref="E58:J58" si="3">E50</f>
        <v>864521</v>
      </c>
      <c r="F58" s="121">
        <f t="shared" si="3"/>
        <v>0</v>
      </c>
      <c r="G58" s="121">
        <f t="shared" si="3"/>
        <v>62497626.68</v>
      </c>
      <c r="H58" s="121">
        <f t="shared" si="3"/>
        <v>3016643.05</v>
      </c>
      <c r="I58" s="121">
        <f t="shared" si="3"/>
        <v>55395732.409999989</v>
      </c>
      <c r="J58" s="121">
        <f t="shared" si="3"/>
        <v>2148838.46</v>
      </c>
      <c r="M58" s="122"/>
      <c r="N58" s="122"/>
      <c r="O58" s="122"/>
    </row>
    <row r="59" spans="1:15" x14ac:dyDescent="0.35">
      <c r="D59" s="121">
        <f>SUM(D57:D58)</f>
        <v>23091865.320000008</v>
      </c>
      <c r="E59" s="121">
        <f t="shared" ref="E59:J59" si="4">SUM(E57:E58)</f>
        <v>18126599.129999999</v>
      </c>
      <c r="F59" s="121">
        <f t="shared" si="4"/>
        <v>535460.9</v>
      </c>
      <c r="G59" s="121">
        <f t="shared" si="4"/>
        <v>88053552.010000005</v>
      </c>
      <c r="H59" s="121">
        <f t="shared" si="4"/>
        <v>22303007.569999997</v>
      </c>
      <c r="I59" s="121">
        <f t="shared" si="4"/>
        <v>81735658.789999992</v>
      </c>
      <c r="J59" s="121">
        <f t="shared" si="4"/>
        <v>19450917.780000001</v>
      </c>
      <c r="M59" s="66"/>
      <c r="N59" s="66"/>
      <c r="O59" s="66"/>
    </row>
    <row r="62" spans="1:15" x14ac:dyDescent="0.35">
      <c r="G62" s="133" t="s">
        <v>82</v>
      </c>
      <c r="H62" s="134">
        <v>48388</v>
      </c>
      <c r="I62" s="135"/>
    </row>
    <row r="63" spans="1:15" x14ac:dyDescent="0.35">
      <c r="G63" s="133" t="s">
        <v>83</v>
      </c>
      <c r="H63" s="134">
        <v>486355.87</v>
      </c>
      <c r="I63" s="135"/>
    </row>
    <row r="64" spans="1:15" x14ac:dyDescent="0.35">
      <c r="F64" s="133"/>
      <c r="G64" s="133" t="s">
        <v>90</v>
      </c>
      <c r="H64" s="134">
        <v>281268.13</v>
      </c>
      <c r="I64" s="135"/>
    </row>
    <row r="65" spans="6:9" x14ac:dyDescent="0.35">
      <c r="F65" s="120"/>
      <c r="G65" s="120" t="s">
        <v>87</v>
      </c>
      <c r="H65" s="134">
        <v>77411</v>
      </c>
      <c r="I65" s="135"/>
    </row>
    <row r="66" spans="6:9" x14ac:dyDescent="0.35">
      <c r="F66" s="120"/>
      <c r="G66" s="120" t="s">
        <v>88</v>
      </c>
      <c r="H66" s="134">
        <v>837925</v>
      </c>
      <c r="I66" s="135">
        <v>192730.1</v>
      </c>
    </row>
    <row r="67" spans="6:9" x14ac:dyDescent="0.35">
      <c r="F67" s="120"/>
      <c r="G67" s="120" t="s">
        <v>89</v>
      </c>
      <c r="H67" s="134">
        <v>314587.90000000002</v>
      </c>
      <c r="I67" s="135"/>
    </row>
    <row r="68" spans="6:9" x14ac:dyDescent="0.35">
      <c r="G68" s="133" t="s">
        <v>91</v>
      </c>
      <c r="H68" s="134"/>
      <c r="I68" s="135">
        <v>468836.28</v>
      </c>
    </row>
    <row r="69" spans="6:9" x14ac:dyDescent="0.35">
      <c r="G69" s="133" t="s">
        <v>84</v>
      </c>
      <c r="H69" s="134"/>
      <c r="I69" s="135">
        <v>-185.31</v>
      </c>
    </row>
    <row r="70" spans="6:9" x14ac:dyDescent="0.35">
      <c r="G70" s="133" t="s">
        <v>85</v>
      </c>
      <c r="H70" s="134"/>
      <c r="I70" s="135">
        <v>4296.4399999999996</v>
      </c>
    </row>
    <row r="71" spans="6:9" x14ac:dyDescent="0.35">
      <c r="F71" s="120"/>
      <c r="G71" s="120" t="s">
        <v>86</v>
      </c>
      <c r="H71" s="134"/>
      <c r="I71" s="135">
        <v>51244</v>
      </c>
    </row>
    <row r="72" spans="6:9" x14ac:dyDescent="0.35">
      <c r="F72" s="120"/>
      <c r="G72" s="120"/>
      <c r="H72" s="136">
        <f>SUM(H62:H71)</f>
        <v>2045935.9</v>
      </c>
      <c r="I72" s="137">
        <f>SUM(I62:I71)</f>
        <v>716921.50999999989</v>
      </c>
    </row>
    <row r="73" spans="6:9" x14ac:dyDescent="0.35">
      <c r="F73" s="120"/>
      <c r="G73" s="120"/>
      <c r="H73" s="121"/>
      <c r="I73" s="121"/>
    </row>
    <row r="74" spans="6:9" x14ac:dyDescent="0.35">
      <c r="F74" s="120"/>
      <c r="G74" s="120"/>
      <c r="H74" s="121"/>
      <c r="I74" s="121"/>
    </row>
    <row r="75" spans="6:9" x14ac:dyDescent="0.35">
      <c r="F75" s="120"/>
      <c r="G75" s="120" t="s">
        <v>92</v>
      </c>
      <c r="H75" s="134"/>
      <c r="I75" s="135">
        <v>11572634.01</v>
      </c>
    </row>
    <row r="76" spans="6:9" x14ac:dyDescent="0.35">
      <c r="F76" s="120"/>
      <c r="G76" s="120" t="s">
        <v>93</v>
      </c>
      <c r="H76" s="134">
        <v>970707.15</v>
      </c>
      <c r="I76" s="135">
        <f>3389795.89+4042296.04</f>
        <v>7432091.9299999997</v>
      </c>
    </row>
    <row r="77" spans="6:9" x14ac:dyDescent="0.35">
      <c r="F77" s="120"/>
      <c r="G77" s="120" t="s">
        <v>94</v>
      </c>
      <c r="H77" s="134"/>
      <c r="I77" s="135">
        <v>3572413.8</v>
      </c>
    </row>
    <row r="78" spans="6:9" x14ac:dyDescent="0.35">
      <c r="F78" s="120"/>
      <c r="G78" s="120" t="s">
        <v>95</v>
      </c>
      <c r="H78" s="134"/>
      <c r="I78" s="135">
        <v>14463928.390000001</v>
      </c>
    </row>
    <row r="79" spans="6:9" x14ac:dyDescent="0.35">
      <c r="F79" s="120"/>
      <c r="G79" s="120" t="s">
        <v>96</v>
      </c>
      <c r="H79" s="134"/>
      <c r="I79" s="135">
        <v>12668261.68</v>
      </c>
    </row>
    <row r="80" spans="6:9" x14ac:dyDescent="0.35">
      <c r="F80" s="120"/>
      <c r="G80" s="120" t="s">
        <v>97</v>
      </c>
      <c r="H80" s="134"/>
      <c r="I80" s="135">
        <v>3180849.53</v>
      </c>
    </row>
    <row r="81" spans="6:9" x14ac:dyDescent="0.35">
      <c r="F81" s="120"/>
      <c r="G81" s="120" t="s">
        <v>98</v>
      </c>
      <c r="H81" s="134"/>
      <c r="I81" s="135">
        <f>99064.65-20.99+230170.39+13735+781832.28+5063333.15+124845.19+73681.86+1716155.09+53097.37+175110.55+32569.02</f>
        <v>8363573.5600000005</v>
      </c>
    </row>
    <row r="82" spans="6:9" x14ac:dyDescent="0.35">
      <c r="F82" s="120"/>
      <c r="G82" s="120" t="s">
        <v>99</v>
      </c>
      <c r="H82" s="134"/>
      <c r="I82" s="135">
        <v>-6574942</v>
      </c>
    </row>
    <row r="83" spans="6:9" x14ac:dyDescent="0.35">
      <c r="F83" s="120"/>
      <c r="G83" s="120"/>
      <c r="H83" s="136">
        <f>SUM(H75:H82)</f>
        <v>970707.15</v>
      </c>
      <c r="I83" s="137">
        <f>SUM(I75:I82)</f>
        <v>54678810.899999999</v>
      </c>
    </row>
    <row r="84" spans="6:9" x14ac:dyDescent="0.35">
      <c r="H84" s="36"/>
      <c r="I84" s="36"/>
    </row>
    <row r="85" spans="6:9" x14ac:dyDescent="0.35">
      <c r="H85" s="36"/>
      <c r="I85" s="36">
        <f>SUM(I75:I82)</f>
        <v>54678810.899999999</v>
      </c>
    </row>
    <row r="86" spans="6:9" x14ac:dyDescent="0.35">
      <c r="H86" s="36"/>
      <c r="I86" s="36">
        <f>I85+H76</f>
        <v>55649518.049999997</v>
      </c>
    </row>
    <row r="87" spans="6:9" x14ac:dyDescent="0.35">
      <c r="H87" s="36"/>
      <c r="I87" s="36"/>
    </row>
    <row r="88" spans="6:9" x14ac:dyDescent="0.35">
      <c r="H88" s="36"/>
      <c r="I88" s="36"/>
    </row>
    <row r="89" spans="6:9" x14ac:dyDescent="0.35">
      <c r="H89" s="36"/>
      <c r="I89" s="36"/>
    </row>
    <row r="90" spans="6:9" x14ac:dyDescent="0.35">
      <c r="H90" s="36"/>
      <c r="I90" s="36"/>
    </row>
    <row r="91" spans="6:9" x14ac:dyDescent="0.35">
      <c r="H91" s="36"/>
      <c r="I91" s="36"/>
    </row>
    <row r="92" spans="6:9" x14ac:dyDescent="0.35">
      <c r="H92" s="36"/>
      <c r="I92" s="36"/>
    </row>
    <row r="93" spans="6:9" x14ac:dyDescent="0.35">
      <c r="H93" s="36"/>
      <c r="I93" s="36"/>
    </row>
    <row r="94" spans="6:9" x14ac:dyDescent="0.35">
      <c r="H94" s="36"/>
      <c r="I94" s="36"/>
    </row>
    <row r="95" spans="6:9" x14ac:dyDescent="0.35">
      <c r="H95" s="36"/>
      <c r="I95" s="36"/>
    </row>
    <row r="96" spans="6:9" x14ac:dyDescent="0.35">
      <c r="H96" s="36"/>
      <c r="I96" s="36"/>
    </row>
    <row r="97" spans="8:9" x14ac:dyDescent="0.35">
      <c r="H97" s="36"/>
      <c r="I97" s="36"/>
    </row>
  </sheetData>
  <mergeCells count="10">
    <mergeCell ref="A6:A7"/>
    <mergeCell ref="B6:B7"/>
    <mergeCell ref="H6:I6"/>
    <mergeCell ref="L6:L7"/>
    <mergeCell ref="E6:E7"/>
    <mergeCell ref="G6:G7"/>
    <mergeCell ref="D6:D7"/>
    <mergeCell ref="C6:C7"/>
    <mergeCell ref="J6:J7"/>
    <mergeCell ref="F6:F7"/>
  </mergeCells>
  <pageMargins left="0.70866141732283472" right="0.70866141732283472" top="0.78740157480314965" bottom="0.78740157480314965" header="0.31496062992125984" footer="0.31496062992125984"/>
  <pageSetup paperSize="9" scale="4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tabSelected="1" topLeftCell="D43" zoomScale="90" zoomScaleNormal="90" workbookViewId="0">
      <selection activeCell="H61" sqref="H61:I63"/>
    </sheetView>
  </sheetViews>
  <sheetFormatPr defaultRowHeight="14.5" x14ac:dyDescent="0.35"/>
  <cols>
    <col min="1" max="1" width="9" bestFit="1" customWidth="1"/>
    <col min="2" max="2" width="32.26953125" customWidth="1"/>
    <col min="3" max="3" width="29.7265625" customWidth="1"/>
    <col min="4" max="5" width="20.54296875" customWidth="1"/>
    <col min="6" max="6" width="20" style="2" customWidth="1"/>
    <col min="7" max="7" width="20.7265625" customWidth="1"/>
    <col min="8" max="8" width="18" customWidth="1"/>
    <col min="9" max="9" width="20.7265625" customWidth="1"/>
    <col min="10" max="10" width="15.453125" bestFit="1" customWidth="1"/>
  </cols>
  <sheetData>
    <row r="1" spans="1:9" ht="16.5" customHeight="1" x14ac:dyDescent="0.35">
      <c r="C1" s="1"/>
      <c r="D1" s="1"/>
      <c r="E1" s="1"/>
      <c r="G1" s="2"/>
      <c r="H1" s="2"/>
      <c r="I1" s="2"/>
    </row>
    <row r="2" spans="1:9" ht="34" thickBot="1" x14ac:dyDescent="0.8">
      <c r="A2" s="5" t="s">
        <v>52</v>
      </c>
      <c r="B2" s="5">
        <v>2019</v>
      </c>
      <c r="C2" s="28"/>
      <c r="D2" s="28"/>
      <c r="E2" s="28"/>
      <c r="H2" s="2"/>
    </row>
    <row r="3" spans="1:9" ht="3.75" hidden="1" customHeight="1" x14ac:dyDescent="0.8">
      <c r="B3" s="5"/>
      <c r="C3" s="1"/>
      <c r="D3" s="1"/>
      <c r="E3" s="1"/>
      <c r="G3" s="2"/>
      <c r="H3" s="2"/>
      <c r="I3" s="2"/>
    </row>
    <row r="4" spans="1:9" ht="15" customHeight="1" x14ac:dyDescent="0.35">
      <c r="A4" s="157" t="s">
        <v>0</v>
      </c>
      <c r="B4" s="159" t="s">
        <v>1</v>
      </c>
      <c r="C4" s="161" t="s">
        <v>65</v>
      </c>
      <c r="D4" s="161" t="s">
        <v>78</v>
      </c>
      <c r="E4" s="111"/>
      <c r="F4" s="161" t="s">
        <v>69</v>
      </c>
      <c r="G4" s="161" t="s">
        <v>66</v>
      </c>
      <c r="H4" s="163" t="s">
        <v>57</v>
      </c>
      <c r="I4" s="161" t="s">
        <v>58</v>
      </c>
    </row>
    <row r="5" spans="1:9" ht="227.25" customHeight="1" thickBot="1" x14ac:dyDescent="0.4">
      <c r="A5" s="158"/>
      <c r="B5" s="160"/>
      <c r="C5" s="162"/>
      <c r="D5" s="162"/>
      <c r="E5" s="112" t="s">
        <v>79</v>
      </c>
      <c r="F5" s="162"/>
      <c r="G5" s="162"/>
      <c r="H5" s="164"/>
      <c r="I5" s="162"/>
    </row>
    <row r="6" spans="1:9" s="1" customFormat="1" ht="15" customHeight="1" x14ac:dyDescent="0.35">
      <c r="A6" s="59">
        <v>3110</v>
      </c>
      <c r="B6" s="62" t="s">
        <v>4</v>
      </c>
      <c r="C6" s="37">
        <v>920032</v>
      </c>
      <c r="D6" s="37"/>
      <c r="E6" s="37"/>
      <c r="F6" s="37"/>
      <c r="G6" s="37">
        <v>0</v>
      </c>
      <c r="H6" s="37">
        <v>0</v>
      </c>
      <c r="I6" s="37">
        <f t="shared" ref="I6:I48" si="0">C6+D6+E6+F6+H6</f>
        <v>920032</v>
      </c>
    </row>
    <row r="7" spans="1:9" s="1" customFormat="1" ht="15" customHeight="1" x14ac:dyDescent="0.35">
      <c r="A7" s="60">
        <v>3111</v>
      </c>
      <c r="B7" s="63" t="s">
        <v>5</v>
      </c>
      <c r="C7" s="29">
        <v>12368832.310000001</v>
      </c>
      <c r="D7" s="29"/>
      <c r="E7" s="29"/>
      <c r="F7" s="29">
        <v>-32247.73</v>
      </c>
      <c r="G7" s="29">
        <v>0</v>
      </c>
      <c r="H7" s="29">
        <v>1082866.29</v>
      </c>
      <c r="I7" s="84">
        <f t="shared" si="0"/>
        <v>13419450.870000001</v>
      </c>
    </row>
    <row r="8" spans="1:9" s="1" customFormat="1" ht="15" customHeight="1" x14ac:dyDescent="0.35">
      <c r="A8" s="60">
        <v>3112</v>
      </c>
      <c r="B8" s="63" t="s">
        <v>6</v>
      </c>
      <c r="C8" s="29">
        <v>8451368.25</v>
      </c>
      <c r="D8" s="29"/>
      <c r="E8" s="29"/>
      <c r="F8" s="29">
        <v>-316476.64</v>
      </c>
      <c r="G8" s="29">
        <v>0</v>
      </c>
      <c r="H8" s="46">
        <v>44713.09</v>
      </c>
      <c r="I8" s="84">
        <f t="shared" si="0"/>
        <v>8179604.7000000002</v>
      </c>
    </row>
    <row r="9" spans="1:9" s="1" customFormat="1" ht="15" customHeight="1" x14ac:dyDescent="0.35">
      <c r="A9" s="60">
        <v>3113</v>
      </c>
      <c r="B9" s="63" t="s">
        <v>7</v>
      </c>
      <c r="C9" s="29">
        <v>7636278.1700000009</v>
      </c>
      <c r="D9" s="29"/>
      <c r="E9" s="29"/>
      <c r="F9" s="29">
        <v>-1342002.53</v>
      </c>
      <c r="G9" s="29">
        <v>0</v>
      </c>
      <c r="H9" s="29">
        <v>3220920.54</v>
      </c>
      <c r="I9" s="84">
        <f t="shared" si="0"/>
        <v>9515196.1799999997</v>
      </c>
    </row>
    <row r="10" spans="1:9" s="1" customFormat="1" ht="15" customHeight="1" x14ac:dyDescent="0.35">
      <c r="A10" s="60">
        <v>3120</v>
      </c>
      <c r="B10" s="64" t="s">
        <v>8</v>
      </c>
      <c r="C10" s="38">
        <v>1554624</v>
      </c>
      <c r="D10" s="38"/>
      <c r="E10" s="37"/>
      <c r="F10" s="37"/>
      <c r="G10" s="37">
        <v>0</v>
      </c>
      <c r="H10" s="37"/>
      <c r="I10" s="37">
        <f t="shared" si="0"/>
        <v>1554624</v>
      </c>
    </row>
    <row r="11" spans="1:9" s="1" customFormat="1" ht="15" customHeight="1" x14ac:dyDescent="0.35">
      <c r="A11" s="60">
        <v>3122</v>
      </c>
      <c r="B11" s="63" t="s">
        <v>9</v>
      </c>
      <c r="C11" s="29">
        <v>3197460.7600000002</v>
      </c>
      <c r="D11" s="29">
        <v>-1633196.56</v>
      </c>
      <c r="E11" s="29"/>
      <c r="F11" s="29">
        <v>142194.1</v>
      </c>
      <c r="G11" s="29">
        <v>1334706.1200000003</v>
      </c>
      <c r="H11" s="29">
        <v>1946833.44</v>
      </c>
      <c r="I11" s="84">
        <f t="shared" si="0"/>
        <v>3653291.74</v>
      </c>
    </row>
    <row r="12" spans="1:9" s="1" customFormat="1" ht="15" customHeight="1" x14ac:dyDescent="0.35">
      <c r="A12" s="60">
        <v>3123</v>
      </c>
      <c r="B12" s="63" t="s">
        <v>10</v>
      </c>
      <c r="C12" s="29">
        <v>9959775.9899999984</v>
      </c>
      <c r="D12" s="29">
        <v>-3188004.97</v>
      </c>
      <c r="E12" s="29"/>
      <c r="F12" s="29">
        <v>615867.25</v>
      </c>
      <c r="G12" s="29">
        <v>3847542.1100000022</v>
      </c>
      <c r="H12" s="29">
        <v>401654.81</v>
      </c>
      <c r="I12" s="84">
        <f t="shared" si="0"/>
        <v>7789293.0799999973</v>
      </c>
    </row>
    <row r="13" spans="1:9" s="1" customFormat="1" ht="15" customHeight="1" x14ac:dyDescent="0.35">
      <c r="A13" s="60">
        <v>3125</v>
      </c>
      <c r="B13" s="63" t="s">
        <v>11</v>
      </c>
      <c r="C13" s="29">
        <v>4624933.68</v>
      </c>
      <c r="D13" s="29"/>
      <c r="E13" s="29"/>
      <c r="F13" s="29"/>
      <c r="G13" s="29">
        <v>0</v>
      </c>
      <c r="H13" s="29">
        <v>317330.01</v>
      </c>
      <c r="I13" s="84">
        <f t="shared" si="0"/>
        <v>4942263.6899999995</v>
      </c>
    </row>
    <row r="14" spans="1:9" s="1" customFormat="1" ht="15" customHeight="1" x14ac:dyDescent="0.35">
      <c r="A14" s="60">
        <v>3127</v>
      </c>
      <c r="B14" s="63" t="s">
        <v>12</v>
      </c>
      <c r="C14" s="29">
        <v>624365.28000000049</v>
      </c>
      <c r="D14" s="29">
        <v>-39869.5</v>
      </c>
      <c r="E14" s="29"/>
      <c r="F14" s="29"/>
      <c r="G14" s="29">
        <v>40407.699999999997</v>
      </c>
      <c r="H14" s="29">
        <v>533984.93999999994</v>
      </c>
      <c r="I14" s="84">
        <f t="shared" si="0"/>
        <v>1118480.7200000004</v>
      </c>
    </row>
    <row r="15" spans="1:9" s="1" customFormat="1" ht="15" customHeight="1" x14ac:dyDescent="0.35">
      <c r="A15" s="60">
        <v>3130</v>
      </c>
      <c r="B15" s="64" t="s">
        <v>13</v>
      </c>
      <c r="C15" s="38">
        <v>636397.5</v>
      </c>
      <c r="D15" s="38"/>
      <c r="E15" s="37"/>
      <c r="F15" s="37"/>
      <c r="G15" s="37">
        <v>0</v>
      </c>
      <c r="H15" s="129">
        <v>-1810</v>
      </c>
      <c r="I15" s="37">
        <f t="shared" si="0"/>
        <v>634587.5</v>
      </c>
    </row>
    <row r="16" spans="1:9" s="1" customFormat="1" ht="15" customHeight="1" x14ac:dyDescent="0.35">
      <c r="A16" s="60">
        <v>3131</v>
      </c>
      <c r="B16" s="63" t="s">
        <v>14</v>
      </c>
      <c r="C16" s="29">
        <v>3243791.42</v>
      </c>
      <c r="D16" s="29"/>
      <c r="E16" s="29"/>
      <c r="F16" s="29">
        <v>294428.99</v>
      </c>
      <c r="G16" s="29">
        <v>0</v>
      </c>
      <c r="H16" s="29">
        <v>657249.57999999996</v>
      </c>
      <c r="I16" s="84">
        <f t="shared" si="0"/>
        <v>4195469.99</v>
      </c>
    </row>
    <row r="17" spans="1:9" s="1" customFormat="1" ht="15" customHeight="1" x14ac:dyDescent="0.35">
      <c r="A17" s="60">
        <v>3132</v>
      </c>
      <c r="B17" s="63" t="s">
        <v>15</v>
      </c>
      <c r="C17" s="29">
        <v>2668669.1199999996</v>
      </c>
      <c r="D17" s="29">
        <v>-2318047.91</v>
      </c>
      <c r="E17" s="29"/>
      <c r="F17" s="29">
        <v>-373571.84000000003</v>
      </c>
      <c r="G17" s="29">
        <v>2545090.17</v>
      </c>
      <c r="H17" s="29">
        <v>2464077.84</v>
      </c>
      <c r="I17" s="84">
        <f t="shared" si="0"/>
        <v>2441127.2099999995</v>
      </c>
    </row>
    <row r="18" spans="1:9" s="1" customFormat="1" ht="15" customHeight="1" x14ac:dyDescent="0.35">
      <c r="A18" s="60">
        <v>3133</v>
      </c>
      <c r="B18" s="63" t="s">
        <v>16</v>
      </c>
      <c r="C18" s="29">
        <v>7037935.21</v>
      </c>
      <c r="D18" s="29">
        <v>-2303327.4500000002</v>
      </c>
      <c r="E18" s="29">
        <v>-305676.26</v>
      </c>
      <c r="F18" s="29"/>
      <c r="G18" s="29">
        <v>1401454.8</v>
      </c>
      <c r="H18" s="29">
        <v>1112377.75</v>
      </c>
      <c r="I18" s="84">
        <f t="shared" si="0"/>
        <v>5541309.25</v>
      </c>
    </row>
    <row r="19" spans="1:9" s="1" customFormat="1" ht="15" customHeight="1" x14ac:dyDescent="0.35">
      <c r="A19" s="60">
        <v>3134</v>
      </c>
      <c r="B19" s="63" t="s">
        <v>17</v>
      </c>
      <c r="C19" s="29">
        <v>290577.27</v>
      </c>
      <c r="D19" s="29"/>
      <c r="E19" s="29"/>
      <c r="F19" s="29"/>
      <c r="G19" s="29">
        <v>0</v>
      </c>
      <c r="H19" s="46">
        <v>1189529.28</v>
      </c>
      <c r="I19" s="84">
        <f t="shared" si="0"/>
        <v>1480106.55</v>
      </c>
    </row>
    <row r="20" spans="1:9" s="1" customFormat="1" ht="15" customHeight="1" x14ac:dyDescent="0.35">
      <c r="A20" s="60">
        <v>3135</v>
      </c>
      <c r="B20" s="63" t="s">
        <v>18</v>
      </c>
      <c r="C20" s="29">
        <v>1553676.57</v>
      </c>
      <c r="D20" s="29">
        <v>-306561.73</v>
      </c>
      <c r="E20" s="29"/>
      <c r="F20" s="29">
        <v>-330148.09999999998</v>
      </c>
      <c r="G20" s="29">
        <v>378280.24</v>
      </c>
      <c r="H20" s="29">
        <v>1382637.36</v>
      </c>
      <c r="I20" s="84">
        <f t="shared" si="0"/>
        <v>2299604.1</v>
      </c>
    </row>
    <row r="21" spans="1:9" s="1" customFormat="1" ht="15" customHeight="1" x14ac:dyDescent="0.35">
      <c r="A21" s="60">
        <v>3140</v>
      </c>
      <c r="B21" s="64" t="s">
        <v>19</v>
      </c>
      <c r="C21" s="38">
        <v>177000</v>
      </c>
      <c r="D21" s="38"/>
      <c r="E21" s="37"/>
      <c r="F21" s="37"/>
      <c r="G21" s="37">
        <v>0</v>
      </c>
      <c r="H21" s="37"/>
      <c r="I21" s="37">
        <f t="shared" si="0"/>
        <v>177000</v>
      </c>
    </row>
    <row r="22" spans="1:9" s="1" customFormat="1" ht="15" customHeight="1" x14ac:dyDescent="0.35">
      <c r="A22" s="60">
        <v>3141</v>
      </c>
      <c r="B22" s="63" t="s">
        <v>20</v>
      </c>
      <c r="C22" s="29">
        <v>-180020.49</v>
      </c>
      <c r="D22" s="29">
        <v>-3569.5</v>
      </c>
      <c r="E22" s="29"/>
      <c r="F22" s="29">
        <v>5223.87</v>
      </c>
      <c r="G22" s="29">
        <v>3569.5</v>
      </c>
      <c r="H22" s="29">
        <v>6275.56</v>
      </c>
      <c r="I22" s="84">
        <f t="shared" si="0"/>
        <v>-172090.56</v>
      </c>
    </row>
    <row r="23" spans="1:9" s="1" customFormat="1" ht="15" customHeight="1" x14ac:dyDescent="0.35">
      <c r="A23" s="60">
        <v>3142</v>
      </c>
      <c r="B23" s="63" t="s">
        <v>21</v>
      </c>
      <c r="C23" s="29">
        <v>-385227.97</v>
      </c>
      <c r="D23" s="29"/>
      <c r="E23" s="29"/>
      <c r="F23" s="29"/>
      <c r="G23" s="29">
        <v>0</v>
      </c>
      <c r="H23" s="46">
        <v>3174493.96</v>
      </c>
      <c r="I23" s="84">
        <f t="shared" si="0"/>
        <v>2789265.99</v>
      </c>
    </row>
    <row r="24" spans="1:9" s="1" customFormat="1" ht="15" customHeight="1" x14ac:dyDescent="0.35">
      <c r="A24" s="60">
        <v>3143</v>
      </c>
      <c r="B24" s="63" t="s">
        <v>22</v>
      </c>
      <c r="C24" s="29">
        <v>5738508.2800000003</v>
      </c>
      <c r="D24" s="29"/>
      <c r="E24" s="29"/>
      <c r="F24" s="29">
        <v>-449645.26</v>
      </c>
      <c r="G24" s="29">
        <v>0</v>
      </c>
      <c r="H24" s="29">
        <v>64464.41</v>
      </c>
      <c r="I24" s="84">
        <f t="shared" si="0"/>
        <v>5353327.4300000006</v>
      </c>
    </row>
    <row r="25" spans="1:9" s="1" customFormat="1" ht="15" customHeight="1" x14ac:dyDescent="0.35">
      <c r="A25" s="60">
        <v>3144</v>
      </c>
      <c r="B25" s="63" t="s">
        <v>23</v>
      </c>
      <c r="C25" s="29">
        <v>659561.89999999991</v>
      </c>
      <c r="D25" s="29"/>
      <c r="E25" s="29"/>
      <c r="F25" s="29">
        <v>-73737</v>
      </c>
      <c r="G25" s="29">
        <v>49095.65</v>
      </c>
      <c r="H25" s="47">
        <v>-274272.21999999997</v>
      </c>
      <c r="I25" s="84">
        <f t="shared" si="0"/>
        <v>311552.67999999993</v>
      </c>
    </row>
    <row r="26" spans="1:9" s="1" customFormat="1" ht="15" customHeight="1" x14ac:dyDescent="0.35">
      <c r="A26" s="60">
        <v>3145</v>
      </c>
      <c r="B26" s="63" t="s">
        <v>24</v>
      </c>
      <c r="C26" s="29">
        <v>4827936.129999999</v>
      </c>
      <c r="D26" s="29"/>
      <c r="E26" s="29"/>
      <c r="F26" s="29">
        <v>-879288.6</v>
      </c>
      <c r="G26" s="29">
        <v>0</v>
      </c>
      <c r="H26" s="47">
        <v>-647760.9</v>
      </c>
      <c r="I26" s="84">
        <f t="shared" si="0"/>
        <v>3300886.629999999</v>
      </c>
    </row>
    <row r="27" spans="1:9" s="1" customFormat="1" ht="15" customHeight="1" x14ac:dyDescent="0.35">
      <c r="A27" s="60">
        <v>3150</v>
      </c>
      <c r="B27" s="64" t="s">
        <v>25</v>
      </c>
      <c r="C27" s="38">
        <v>0</v>
      </c>
      <c r="D27" s="38"/>
      <c r="E27" s="37"/>
      <c r="F27" s="37"/>
      <c r="G27" s="37">
        <v>0</v>
      </c>
      <c r="H27" s="37"/>
      <c r="I27" s="37">
        <f t="shared" si="0"/>
        <v>0</v>
      </c>
    </row>
    <row r="28" spans="1:9" s="1" customFormat="1" ht="15" customHeight="1" x14ac:dyDescent="0.35">
      <c r="A28" s="60">
        <v>3151</v>
      </c>
      <c r="B28" s="63" t="s">
        <v>26</v>
      </c>
      <c r="C28" s="29">
        <v>1697341.01</v>
      </c>
      <c r="D28" s="29"/>
      <c r="E28" s="29"/>
      <c r="F28" s="29">
        <v>-200000</v>
      </c>
      <c r="G28" s="29">
        <v>0</v>
      </c>
      <c r="H28" s="29">
        <v>857614.76</v>
      </c>
      <c r="I28" s="84">
        <f t="shared" si="0"/>
        <v>2354955.77</v>
      </c>
    </row>
    <row r="29" spans="1:9" s="1" customFormat="1" ht="15" customHeight="1" x14ac:dyDescent="0.35">
      <c r="A29" s="60">
        <v>3152</v>
      </c>
      <c r="B29" s="63" t="s">
        <v>27</v>
      </c>
      <c r="C29" s="29">
        <v>948413.12000000011</v>
      </c>
      <c r="D29" s="29"/>
      <c r="E29" s="29"/>
      <c r="F29" s="29"/>
      <c r="G29" s="29">
        <v>0</v>
      </c>
      <c r="H29" s="29">
        <v>188753.07</v>
      </c>
      <c r="I29" s="84">
        <f t="shared" si="0"/>
        <v>1137166.1900000002</v>
      </c>
    </row>
    <row r="30" spans="1:9" s="1" customFormat="1" ht="15" customHeight="1" x14ac:dyDescent="0.35">
      <c r="A30" s="60">
        <v>3153</v>
      </c>
      <c r="B30" s="63" t="s">
        <v>28</v>
      </c>
      <c r="C30" s="29">
        <v>1209955.8600000001</v>
      </c>
      <c r="D30" s="29"/>
      <c r="E30" s="29"/>
      <c r="F30" s="29">
        <v>414898.78</v>
      </c>
      <c r="G30" s="29">
        <v>0</v>
      </c>
      <c r="H30" s="46">
        <v>1004591.14</v>
      </c>
      <c r="I30" s="84">
        <f t="shared" si="0"/>
        <v>2629445.7800000003</v>
      </c>
    </row>
    <row r="31" spans="1:9" s="1" customFormat="1" ht="15" customHeight="1" x14ac:dyDescent="0.35">
      <c r="A31" s="60">
        <v>3154</v>
      </c>
      <c r="B31" s="63" t="s">
        <v>29</v>
      </c>
      <c r="C31" s="29">
        <v>894666.92999999993</v>
      </c>
      <c r="D31" s="29"/>
      <c r="E31" s="29"/>
      <c r="F31" s="29"/>
      <c r="G31" s="29">
        <v>0</v>
      </c>
      <c r="H31" s="29">
        <v>692618.23</v>
      </c>
      <c r="I31" s="84">
        <f t="shared" si="0"/>
        <v>1587285.16</v>
      </c>
    </row>
    <row r="32" spans="1:9" s="1" customFormat="1" ht="15" customHeight="1" x14ac:dyDescent="0.35">
      <c r="A32" s="60">
        <v>3137</v>
      </c>
      <c r="B32" s="65" t="s">
        <v>30</v>
      </c>
      <c r="C32" s="30">
        <v>1050156.1100000001</v>
      </c>
      <c r="D32" s="30"/>
      <c r="E32" s="113"/>
      <c r="F32" s="113">
        <v>-675615.43</v>
      </c>
      <c r="G32" s="113">
        <v>0</v>
      </c>
      <c r="H32" s="37"/>
      <c r="I32" s="37">
        <f t="shared" si="0"/>
        <v>374540.68000000005</v>
      </c>
    </row>
    <row r="33" spans="1:10" s="1" customFormat="1" ht="15" customHeight="1" x14ac:dyDescent="0.35">
      <c r="A33" s="60">
        <v>3701</v>
      </c>
      <c r="B33" s="63" t="s">
        <v>31</v>
      </c>
      <c r="C33" s="29">
        <v>2087039.7600000002</v>
      </c>
      <c r="D33" s="29">
        <v>-407180.29</v>
      </c>
      <c r="E33" s="29"/>
      <c r="F33" s="29">
        <v>-18855.8</v>
      </c>
      <c r="G33" s="29">
        <v>407719.49</v>
      </c>
      <c r="H33" s="46">
        <v>32797.769999999997</v>
      </c>
      <c r="I33" s="85">
        <f t="shared" si="0"/>
        <v>1693801.4400000002</v>
      </c>
    </row>
    <row r="34" spans="1:10" s="1" customFormat="1" ht="15" customHeight="1" x14ac:dyDescent="0.35">
      <c r="A34" s="60">
        <v>3702</v>
      </c>
      <c r="B34" s="63" t="s">
        <v>32</v>
      </c>
      <c r="C34" s="29">
        <v>1100516.2299999997</v>
      </c>
      <c r="D34" s="29">
        <v>-1370750</v>
      </c>
      <c r="E34" s="29"/>
      <c r="F34" s="29">
        <v>400000</v>
      </c>
      <c r="G34" s="29">
        <v>1370750</v>
      </c>
      <c r="H34" s="29">
        <v>144877.26999999999</v>
      </c>
      <c r="I34" s="84">
        <f t="shared" si="0"/>
        <v>274643.49999999977</v>
      </c>
    </row>
    <row r="35" spans="1:10" s="1" customFormat="1" ht="15" customHeight="1" x14ac:dyDescent="0.35">
      <c r="A35" s="60">
        <v>3703</v>
      </c>
      <c r="B35" s="63" t="s">
        <v>33</v>
      </c>
      <c r="C35" s="29">
        <v>-3799.9600000000064</v>
      </c>
      <c r="D35" s="29">
        <v>-81258.06</v>
      </c>
      <c r="E35" s="29"/>
      <c r="F35" s="29"/>
      <c r="G35" s="29">
        <v>81989.700000000012</v>
      </c>
      <c r="H35" s="47">
        <v>-801604.1</v>
      </c>
      <c r="I35" s="84">
        <f t="shared" si="0"/>
        <v>-886662.12</v>
      </c>
    </row>
    <row r="36" spans="1:10" s="1" customFormat="1" ht="15" customHeight="1" x14ac:dyDescent="0.35">
      <c r="A36" s="60">
        <v>3704</v>
      </c>
      <c r="B36" s="63" t="s">
        <v>34</v>
      </c>
      <c r="C36" s="29">
        <v>5697880.6699999999</v>
      </c>
      <c r="D36" s="29">
        <v>-339922.52</v>
      </c>
      <c r="E36" s="29"/>
      <c r="F36" s="29">
        <v>-3337128.14</v>
      </c>
      <c r="G36" s="29">
        <v>339190.91000000003</v>
      </c>
      <c r="H36" s="29">
        <v>0</v>
      </c>
      <c r="I36" s="84">
        <f t="shared" si="0"/>
        <v>2020830.0100000002</v>
      </c>
    </row>
    <row r="37" spans="1:10" s="1" customFormat="1" ht="15" customHeight="1" x14ac:dyDescent="0.35">
      <c r="A37" s="60">
        <v>3705</v>
      </c>
      <c r="B37" s="63" t="s">
        <v>35</v>
      </c>
      <c r="C37" s="29">
        <v>3065068.56</v>
      </c>
      <c r="D37" s="99"/>
      <c r="E37" s="29"/>
      <c r="F37" s="29">
        <v>-901638.87</v>
      </c>
      <c r="G37" s="29">
        <v>0</v>
      </c>
      <c r="H37" s="29">
        <v>626409.4</v>
      </c>
      <c r="I37" s="84">
        <f t="shared" si="0"/>
        <v>2789839.09</v>
      </c>
    </row>
    <row r="38" spans="1:10" s="1" customFormat="1" ht="15" customHeight="1" x14ac:dyDescent="0.35">
      <c r="A38" s="60">
        <v>3706</v>
      </c>
      <c r="B38" s="63" t="s">
        <v>36</v>
      </c>
      <c r="C38" s="29">
        <v>80960.160000000003</v>
      </c>
      <c r="D38" s="29"/>
      <c r="E38" s="29"/>
      <c r="F38" s="29">
        <v>-80960.19</v>
      </c>
      <c r="G38" s="29">
        <v>0</v>
      </c>
      <c r="H38" s="29">
        <v>0</v>
      </c>
      <c r="I38" s="84">
        <f t="shared" si="0"/>
        <v>-2.9999999998835847E-2</v>
      </c>
    </row>
    <row r="39" spans="1:10" s="1" customFormat="1" ht="15" customHeight="1" x14ac:dyDescent="0.35">
      <c r="A39" s="60">
        <v>3720</v>
      </c>
      <c r="B39" s="65" t="s">
        <v>37</v>
      </c>
      <c r="C39" s="30">
        <v>6520132.2800000003</v>
      </c>
      <c r="D39" s="30">
        <v>-997906</v>
      </c>
      <c r="E39" s="113"/>
      <c r="F39" s="113"/>
      <c r="G39" s="113">
        <v>997906</v>
      </c>
      <c r="H39" s="129">
        <v>-333701.68</v>
      </c>
      <c r="I39" s="37">
        <f t="shared" si="0"/>
        <v>5188524.6000000006</v>
      </c>
    </row>
    <row r="40" spans="1:10" s="1" customFormat="1" ht="15" customHeight="1" x14ac:dyDescent="0.35">
      <c r="A40" s="60">
        <v>3721</v>
      </c>
      <c r="B40" s="63" t="s">
        <v>38</v>
      </c>
      <c r="C40" s="29">
        <v>3856190.72</v>
      </c>
      <c r="D40" s="29">
        <v>-978807.88</v>
      </c>
      <c r="E40" s="29"/>
      <c r="F40" s="29"/>
      <c r="G40" s="29">
        <v>978807.88</v>
      </c>
      <c r="H40" s="47">
        <v>-350808.01</v>
      </c>
      <c r="I40" s="84">
        <f t="shared" si="0"/>
        <v>2526574.83</v>
      </c>
    </row>
    <row r="41" spans="1:10" s="1" customFormat="1" ht="15" customHeight="1" x14ac:dyDescent="0.35">
      <c r="A41" s="60">
        <v>3722</v>
      </c>
      <c r="B41" s="63" t="s">
        <v>39</v>
      </c>
      <c r="C41" s="29">
        <v>4165086.1500000004</v>
      </c>
      <c r="D41" s="29">
        <v>-4164784.5</v>
      </c>
      <c r="E41" s="29"/>
      <c r="F41" s="29"/>
      <c r="G41" s="29">
        <v>4164784.5</v>
      </c>
      <c r="H41" s="46">
        <v>1482301.84</v>
      </c>
      <c r="I41" s="84">
        <f t="shared" si="0"/>
        <v>1482603.4900000005</v>
      </c>
    </row>
    <row r="42" spans="1:10" s="1" customFormat="1" ht="15" customHeight="1" x14ac:dyDescent="0.35">
      <c r="A42" s="60">
        <v>3723</v>
      </c>
      <c r="B42" s="63" t="s">
        <v>40</v>
      </c>
      <c r="C42" s="29">
        <v>6440825.9100000001</v>
      </c>
      <c r="D42" s="29">
        <v>-5642480.3600000003</v>
      </c>
      <c r="E42" s="29"/>
      <c r="F42" s="29"/>
      <c r="G42" s="29">
        <v>5642480.3599999985</v>
      </c>
      <c r="H42" s="29">
        <v>131648.51</v>
      </c>
      <c r="I42" s="84">
        <f t="shared" si="0"/>
        <v>929994.05999999982</v>
      </c>
    </row>
    <row r="43" spans="1:10" s="1" customFormat="1" ht="15" customHeight="1" x14ac:dyDescent="0.35">
      <c r="A43" s="60">
        <v>3724</v>
      </c>
      <c r="B43" s="63" t="s">
        <v>41</v>
      </c>
      <c r="C43" s="29">
        <v>9250400.160000002</v>
      </c>
      <c r="D43" s="29"/>
      <c r="E43" s="29"/>
      <c r="F43" s="29">
        <v>422008.99</v>
      </c>
      <c r="G43" s="29">
        <v>74020.5</v>
      </c>
      <c r="H43" s="29">
        <v>431779.28</v>
      </c>
      <c r="I43" s="84">
        <f t="shared" si="0"/>
        <v>10104188.430000002</v>
      </c>
    </row>
    <row r="44" spans="1:10" s="1" customFormat="1" ht="15" customHeight="1" x14ac:dyDescent="0.35">
      <c r="A44" s="60">
        <v>3725</v>
      </c>
      <c r="B44" s="63" t="s">
        <v>42</v>
      </c>
      <c r="C44" s="29">
        <v>7484404.5700000003</v>
      </c>
      <c r="D44" s="29"/>
      <c r="E44" s="29"/>
      <c r="F44" s="29">
        <v>-9214.2999999999993</v>
      </c>
      <c r="G44" s="29">
        <v>0</v>
      </c>
      <c r="H44" s="29">
        <v>1390580.46</v>
      </c>
      <c r="I44" s="84">
        <f t="shared" si="0"/>
        <v>8865770.7300000004</v>
      </c>
    </row>
    <row r="45" spans="1:10" s="1" customFormat="1" ht="15" customHeight="1" x14ac:dyDescent="0.35">
      <c r="A45" s="60">
        <v>3726</v>
      </c>
      <c r="B45" s="63" t="s">
        <v>43</v>
      </c>
      <c r="C45" s="29">
        <v>548453.75</v>
      </c>
      <c r="D45" s="29">
        <v>-548300</v>
      </c>
      <c r="E45" s="29"/>
      <c r="F45" s="29"/>
      <c r="G45" s="29">
        <v>1450172.65</v>
      </c>
      <c r="H45" s="29">
        <v>125953.8</v>
      </c>
      <c r="I45" s="84">
        <f t="shared" si="0"/>
        <v>126107.55</v>
      </c>
    </row>
    <row r="46" spans="1:10" s="1" customFormat="1" ht="15" customHeight="1" x14ac:dyDescent="0.35">
      <c r="A46" s="60">
        <v>3727</v>
      </c>
      <c r="B46" s="63" t="s">
        <v>44</v>
      </c>
      <c r="C46" s="29">
        <v>11347478.149999999</v>
      </c>
      <c r="D46" s="29">
        <v>-1231958.1000000001</v>
      </c>
      <c r="E46" s="29"/>
      <c r="F46" s="29"/>
      <c r="G46" s="29">
        <v>1231958.0999999996</v>
      </c>
      <c r="H46" s="29">
        <v>1540464.89</v>
      </c>
      <c r="I46" s="84">
        <f t="shared" si="0"/>
        <v>11655984.939999999</v>
      </c>
    </row>
    <row r="47" spans="1:10" s="1" customFormat="1" ht="15.5" x14ac:dyDescent="0.35">
      <c r="A47" s="60">
        <v>3728</v>
      </c>
      <c r="B47" s="63" t="s">
        <v>45</v>
      </c>
      <c r="C47" s="29">
        <v>615788.94999999995</v>
      </c>
      <c r="D47" s="29"/>
      <c r="E47" s="29"/>
      <c r="F47" s="29"/>
      <c r="G47" s="29"/>
      <c r="H47" s="47">
        <v>-1124663.55</v>
      </c>
      <c r="I47" s="84">
        <f t="shared" si="0"/>
        <v>-508874.60000000009</v>
      </c>
      <c r="J47" s="77"/>
    </row>
    <row r="48" spans="1:10" s="1" customFormat="1" ht="15" customHeight="1" thickBot="1" x14ac:dyDescent="0.4">
      <c r="A48" s="20" t="s">
        <v>77</v>
      </c>
      <c r="B48" s="127" t="s">
        <v>64</v>
      </c>
      <c r="C48" s="128">
        <v>7758511.5300000012</v>
      </c>
      <c r="D48" s="128">
        <v>-62497626.68</v>
      </c>
      <c r="E48" s="128"/>
      <c r="F48" s="128">
        <f>-876409.13+172572.69</f>
        <v>-703836.44</v>
      </c>
      <c r="G48" s="128">
        <v>55395732.409999989</v>
      </c>
      <c r="H48" s="29">
        <v>42106974.170000002</v>
      </c>
      <c r="I48" s="84">
        <f t="shared" si="0"/>
        <v>-13335977.419999994</v>
      </c>
      <c r="J48" s="78" t="s">
        <v>59</v>
      </c>
    </row>
    <row r="49" spans="1:11" s="1" customFormat="1" ht="30" customHeight="1" thickBot="1" x14ac:dyDescent="0.4">
      <c r="A49" s="61" t="s">
        <v>46</v>
      </c>
      <c r="B49" s="31"/>
      <c r="C49" s="32">
        <f t="shared" ref="C49:G49" si="1">SUM(C6:C48)</f>
        <v>151421946.00000003</v>
      </c>
      <c r="D49" s="32">
        <f t="shared" si="1"/>
        <v>-88053552.010000005</v>
      </c>
      <c r="E49" s="32">
        <f t="shared" si="1"/>
        <v>-305676.26</v>
      </c>
      <c r="F49" s="32">
        <f t="shared" si="1"/>
        <v>-7429744.8900000006</v>
      </c>
      <c r="G49" s="32">
        <f t="shared" si="1"/>
        <v>81735658.789999992</v>
      </c>
      <c r="H49" s="119">
        <f t="shared" ref="H49" si="2">SUM(H6:H48)</f>
        <v>64822152.990000002</v>
      </c>
      <c r="I49" s="32">
        <f t="shared" ref="I49" si="3">SUM(I6:I48)</f>
        <v>120455125.83000001</v>
      </c>
    </row>
    <row r="50" spans="1:11" s="1" customFormat="1" ht="21.75" customHeight="1" x14ac:dyDescent="0.35">
      <c r="A50" s="33"/>
      <c r="B50" s="33"/>
      <c r="C50" s="33"/>
      <c r="D50" s="33"/>
      <c r="E50" s="33"/>
      <c r="F50" s="34"/>
      <c r="G50" s="34"/>
      <c r="H50" s="34"/>
      <c r="I50" s="34"/>
    </row>
    <row r="51" spans="1:11" s="1" customFormat="1" ht="60.75" hidden="1" customHeight="1" x14ac:dyDescent="0.35">
      <c r="A51" s="33"/>
      <c r="B51" s="156" t="s">
        <v>50</v>
      </c>
      <c r="C51" s="156"/>
      <c r="D51" s="156"/>
      <c r="E51" s="156"/>
      <c r="F51" s="156"/>
      <c r="G51" s="156"/>
      <c r="H51" s="156"/>
      <c r="I51" s="156"/>
      <c r="K51" s="1">
        <v>40982318.789999992</v>
      </c>
    </row>
    <row r="52" spans="1:11" ht="17.25" hidden="1" customHeight="1" x14ac:dyDescent="0.4">
      <c r="A52" s="23"/>
      <c r="B52" s="23"/>
      <c r="C52" s="35"/>
      <c r="D52" s="35"/>
      <c r="E52" s="35"/>
      <c r="F52" s="24"/>
      <c r="G52" s="24"/>
      <c r="H52" s="25"/>
      <c r="I52" s="24"/>
    </row>
    <row r="53" spans="1:11" ht="15" hidden="1" customHeight="1" x14ac:dyDescent="0.35"/>
    <row r="54" spans="1:11" ht="15" hidden="1" customHeight="1" x14ac:dyDescent="0.35">
      <c r="F54" s="45"/>
      <c r="G54" s="36"/>
      <c r="I54" s="36"/>
    </row>
    <row r="55" spans="1:11" ht="15" hidden="1" customHeight="1" x14ac:dyDescent="0.35">
      <c r="F55" s="45"/>
      <c r="G55" s="36"/>
      <c r="I55" s="36"/>
    </row>
    <row r="56" spans="1:11" ht="15" hidden="1" customHeight="1" x14ac:dyDescent="0.35">
      <c r="F56" s="45"/>
      <c r="G56" s="36"/>
      <c r="I56" s="36"/>
    </row>
    <row r="57" spans="1:11" ht="15" hidden="1" customHeight="1" x14ac:dyDescent="0.35">
      <c r="F57" s="45"/>
      <c r="G57" s="36"/>
      <c r="I57" s="36"/>
    </row>
    <row r="58" spans="1:11" ht="15" hidden="1" customHeight="1" x14ac:dyDescent="0.35"/>
    <row r="59" spans="1:11" x14ac:dyDescent="0.35">
      <c r="C59" s="36"/>
      <c r="D59" s="36"/>
      <c r="E59" s="36"/>
      <c r="F59" s="45"/>
      <c r="G59" s="2"/>
      <c r="I59" s="2"/>
    </row>
    <row r="60" spans="1:11" x14ac:dyDescent="0.35">
      <c r="F60" s="67"/>
      <c r="G60" s="67"/>
      <c r="H60" s="67"/>
      <c r="I60" s="67"/>
    </row>
    <row r="61" spans="1:11" x14ac:dyDescent="0.35">
      <c r="B61" s="120" t="s">
        <v>76</v>
      </c>
      <c r="C61" s="121">
        <f t="shared" ref="C61:G61" si="4">SUM(C6:C47)</f>
        <v>143663434.47000003</v>
      </c>
      <c r="D61" s="121">
        <f t="shared" si="4"/>
        <v>-25555925.330000002</v>
      </c>
      <c r="E61" s="121">
        <f t="shared" si="4"/>
        <v>-305676.26</v>
      </c>
      <c r="F61" s="121">
        <f t="shared" si="4"/>
        <v>-6725908.4500000002</v>
      </c>
      <c r="G61" s="121">
        <f t="shared" si="4"/>
        <v>26339926.380000003</v>
      </c>
      <c r="H61" s="121">
        <f t="shared" ref="H61:I61" si="5">SUM(H6:H47)</f>
        <v>22715178.82</v>
      </c>
      <c r="I61" s="121">
        <f t="shared" si="5"/>
        <v>133791103.25</v>
      </c>
    </row>
    <row r="62" spans="1:11" x14ac:dyDescent="0.35">
      <c r="B62" s="120" t="s">
        <v>77</v>
      </c>
      <c r="C62" s="121">
        <f t="shared" ref="C62:G62" si="6">C48</f>
        <v>7758511.5300000012</v>
      </c>
      <c r="D62" s="121">
        <f t="shared" si="6"/>
        <v>-62497626.68</v>
      </c>
      <c r="E62" s="121">
        <f t="shared" si="6"/>
        <v>0</v>
      </c>
      <c r="F62" s="121">
        <f t="shared" si="6"/>
        <v>-703836.44</v>
      </c>
      <c r="G62" s="121">
        <f t="shared" si="6"/>
        <v>55395732.409999989</v>
      </c>
      <c r="H62" s="121">
        <f t="shared" ref="H62:I62" si="7">H48</f>
        <v>42106974.170000002</v>
      </c>
      <c r="I62" s="121">
        <f t="shared" si="7"/>
        <v>-13335977.419999994</v>
      </c>
    </row>
    <row r="63" spans="1:11" x14ac:dyDescent="0.35">
      <c r="C63" s="121">
        <f t="shared" ref="C63:G63" si="8">SUM(C61:C62)</f>
        <v>151421946.00000003</v>
      </c>
      <c r="D63" s="121">
        <f t="shared" si="8"/>
        <v>-88053552.010000005</v>
      </c>
      <c r="E63" s="121">
        <f t="shared" si="8"/>
        <v>-305676.26</v>
      </c>
      <c r="F63" s="121">
        <f t="shared" si="8"/>
        <v>-7429744.8900000006</v>
      </c>
      <c r="G63" s="121">
        <f t="shared" si="8"/>
        <v>81735658.789999992</v>
      </c>
      <c r="H63" s="121">
        <f t="shared" ref="H63:I63" si="9">SUM(H61:H62)</f>
        <v>64822152.990000002</v>
      </c>
      <c r="I63" s="121">
        <f t="shared" si="9"/>
        <v>120455125.83000001</v>
      </c>
    </row>
  </sheetData>
  <mergeCells count="9">
    <mergeCell ref="B51:I51"/>
    <mergeCell ref="A4:A5"/>
    <mergeCell ref="B4:B5"/>
    <mergeCell ref="D4:D5"/>
    <mergeCell ref="C4:C5"/>
    <mergeCell ref="F4:F5"/>
    <mergeCell ref="G4:G5"/>
    <mergeCell ref="I4:I5"/>
    <mergeCell ref="H4:H5"/>
  </mergeCells>
  <pageMargins left="0.70866141732283472" right="0.70866141732283472" top="0.78740157480314965" bottom="0.78740157480314965" header="0.31496062992125984" footer="0.31496062992125984"/>
  <pageSetup paperSize="8" scale="5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topLeftCell="A31" workbookViewId="0">
      <selection activeCell="I60" sqref="I60:I64"/>
    </sheetView>
  </sheetViews>
  <sheetFormatPr defaultRowHeight="14.5" x14ac:dyDescent="0.35"/>
  <cols>
    <col min="1" max="1" width="11" customWidth="1"/>
    <col min="2" max="3" width="36.7265625" customWidth="1"/>
    <col min="4" max="7" width="13.81640625" customWidth="1"/>
    <col min="8" max="8" width="20.453125" customWidth="1"/>
    <col min="9" max="9" width="18" customWidth="1"/>
    <col min="10" max="10" width="20.453125" customWidth="1"/>
    <col min="11" max="11" width="11.26953125" bestFit="1" customWidth="1"/>
  </cols>
  <sheetData>
    <row r="1" spans="1:11" x14ac:dyDescent="0.35">
      <c r="D1" s="2"/>
      <c r="E1" s="2"/>
      <c r="F1" s="2"/>
      <c r="G1" s="2"/>
      <c r="I1" s="2"/>
    </row>
    <row r="2" spans="1:11" ht="33.5" x14ac:dyDescent="0.75">
      <c r="A2" s="79" t="s">
        <v>54</v>
      </c>
      <c r="B2" s="79"/>
      <c r="C2" s="5">
        <v>2019</v>
      </c>
      <c r="H2" s="39"/>
      <c r="I2" s="2"/>
      <c r="J2" s="39"/>
      <c r="K2" s="2"/>
    </row>
    <row r="3" spans="1:11" ht="3.75" customHeight="1" thickBot="1" x14ac:dyDescent="0.8">
      <c r="B3" s="5"/>
      <c r="C3" s="5"/>
      <c r="H3" s="39"/>
      <c r="I3" s="2"/>
      <c r="J3" s="39"/>
      <c r="K3" s="2"/>
    </row>
    <row r="4" spans="1:11" ht="15" customHeight="1" x14ac:dyDescent="0.35">
      <c r="A4" s="169" t="s">
        <v>0</v>
      </c>
      <c r="B4" s="171" t="s">
        <v>1</v>
      </c>
      <c r="C4" s="152" t="s">
        <v>65</v>
      </c>
      <c r="D4" s="173" t="s">
        <v>56</v>
      </c>
      <c r="E4" s="150" t="s">
        <v>73</v>
      </c>
      <c r="F4" s="173" t="s">
        <v>49</v>
      </c>
      <c r="G4" s="167" t="s">
        <v>70</v>
      </c>
      <c r="H4" s="165" t="s">
        <v>81</v>
      </c>
      <c r="I4" s="163" t="s">
        <v>57</v>
      </c>
      <c r="J4" s="165" t="s">
        <v>80</v>
      </c>
    </row>
    <row r="5" spans="1:11" ht="135.75" customHeight="1" thickBot="1" x14ac:dyDescent="0.4">
      <c r="A5" s="170"/>
      <c r="B5" s="172"/>
      <c r="C5" s="153"/>
      <c r="D5" s="174"/>
      <c r="E5" s="151"/>
      <c r="F5" s="174"/>
      <c r="G5" s="168" t="s">
        <v>51</v>
      </c>
      <c r="H5" s="166"/>
      <c r="I5" s="164"/>
      <c r="J5" s="166" t="s">
        <v>80</v>
      </c>
    </row>
    <row r="6" spans="1:11" s="1" customFormat="1" ht="15" customHeight="1" x14ac:dyDescent="0.35">
      <c r="A6" s="72">
        <v>3110</v>
      </c>
      <c r="B6" s="73" t="s">
        <v>4</v>
      </c>
      <c r="C6" s="114">
        <v>1185.0900000000001</v>
      </c>
      <c r="D6" s="74"/>
      <c r="E6" s="114">
        <f>C6+D6</f>
        <v>1185.0900000000001</v>
      </c>
      <c r="F6" s="74"/>
      <c r="G6" s="102"/>
      <c r="H6" s="74">
        <f>E6+F6-G6</f>
        <v>1185.0900000000001</v>
      </c>
      <c r="I6" s="37"/>
      <c r="J6" s="74">
        <f>H6+I6</f>
        <v>1185.0900000000001</v>
      </c>
      <c r="K6" s="108"/>
    </row>
    <row r="7" spans="1:11" s="1" customFormat="1" ht="15" customHeight="1" x14ac:dyDescent="0.35">
      <c r="A7" s="75">
        <v>3111</v>
      </c>
      <c r="B7" s="41" t="s">
        <v>5</v>
      </c>
      <c r="C7" s="48">
        <v>157245.10999999999</v>
      </c>
      <c r="D7" s="48">
        <v>-9859.69</v>
      </c>
      <c r="E7" s="48">
        <f t="shared" ref="E7:E48" si="0">C7+D7</f>
        <v>147385.41999999998</v>
      </c>
      <c r="F7" s="48"/>
      <c r="G7" s="103"/>
      <c r="H7" s="48">
        <f t="shared" ref="H7:H48" si="1">E7+F7-G7</f>
        <v>147385.41999999998</v>
      </c>
      <c r="I7" s="29"/>
      <c r="J7" s="48">
        <f t="shared" ref="J7:J48" si="2">H7+I7</f>
        <v>147385.41999999998</v>
      </c>
      <c r="K7" s="108"/>
    </row>
    <row r="8" spans="1:11" s="1" customFormat="1" ht="15" customHeight="1" x14ac:dyDescent="0.35">
      <c r="A8" s="75">
        <v>3112</v>
      </c>
      <c r="B8" s="41" t="s">
        <v>6</v>
      </c>
      <c r="C8" s="48">
        <v>14075.100000000002</v>
      </c>
      <c r="D8" s="49">
        <v>-11702.73</v>
      </c>
      <c r="E8" s="48">
        <f t="shared" si="0"/>
        <v>2372.3700000000026</v>
      </c>
      <c r="F8" s="49"/>
      <c r="G8" s="104"/>
      <c r="H8" s="49">
        <f t="shared" si="1"/>
        <v>2372.3700000000026</v>
      </c>
      <c r="I8" s="46"/>
      <c r="J8" s="49">
        <f t="shared" si="2"/>
        <v>2372.3700000000026</v>
      </c>
      <c r="K8" s="108"/>
    </row>
    <row r="9" spans="1:11" s="1" customFormat="1" ht="15" customHeight="1" x14ac:dyDescent="0.35">
      <c r="A9" s="75">
        <v>3113</v>
      </c>
      <c r="B9" s="41" t="s">
        <v>7</v>
      </c>
      <c r="C9" s="48">
        <v>49787.360000000001</v>
      </c>
      <c r="D9" s="49">
        <v>241.15</v>
      </c>
      <c r="E9" s="48">
        <f t="shared" si="0"/>
        <v>50028.51</v>
      </c>
      <c r="F9" s="123">
        <v>-41990.9</v>
      </c>
      <c r="G9" s="104"/>
      <c r="H9" s="49">
        <f t="shared" si="1"/>
        <v>8037.6100000000006</v>
      </c>
      <c r="I9" s="29"/>
      <c r="J9" s="49">
        <f t="shared" si="2"/>
        <v>8037.6100000000006</v>
      </c>
      <c r="K9" s="108"/>
    </row>
    <row r="10" spans="1:11" s="1" customFormat="1" ht="15" customHeight="1" x14ac:dyDescent="0.35">
      <c r="A10" s="75">
        <v>3120</v>
      </c>
      <c r="B10" s="40" t="s">
        <v>8</v>
      </c>
      <c r="C10" s="68">
        <v>18068.179999999997</v>
      </c>
      <c r="D10" s="50">
        <v>92.52</v>
      </c>
      <c r="E10" s="68">
        <f t="shared" si="0"/>
        <v>18160.699999999997</v>
      </c>
      <c r="F10" s="50"/>
      <c r="G10" s="50"/>
      <c r="H10" s="50">
        <f t="shared" si="1"/>
        <v>18160.699999999997</v>
      </c>
      <c r="I10" s="37"/>
      <c r="J10" s="50">
        <f t="shared" si="2"/>
        <v>18160.699999999997</v>
      </c>
      <c r="K10" s="108"/>
    </row>
    <row r="11" spans="1:11" s="1" customFormat="1" ht="15" customHeight="1" x14ac:dyDescent="0.35">
      <c r="A11" s="75">
        <v>3122</v>
      </c>
      <c r="B11" s="41" t="s">
        <v>9</v>
      </c>
      <c r="C11" s="48">
        <v>43781.74</v>
      </c>
      <c r="D11" s="49">
        <v>74196.899999999994</v>
      </c>
      <c r="E11" s="48">
        <f t="shared" si="0"/>
        <v>117978.63999999998</v>
      </c>
      <c r="F11" s="125"/>
      <c r="G11" s="104">
        <v>-17666</v>
      </c>
      <c r="H11" s="49">
        <f t="shared" si="1"/>
        <v>135644.63999999998</v>
      </c>
      <c r="I11" s="29"/>
      <c r="J11" s="49">
        <f t="shared" si="2"/>
        <v>135644.63999999998</v>
      </c>
      <c r="K11" s="108"/>
    </row>
    <row r="12" spans="1:11" s="1" customFormat="1" ht="15" customHeight="1" x14ac:dyDescent="0.35">
      <c r="A12" s="75">
        <v>3123</v>
      </c>
      <c r="B12" s="41" t="s">
        <v>10</v>
      </c>
      <c r="C12" s="48">
        <v>192943.09</v>
      </c>
      <c r="D12" s="48">
        <v>962153.03</v>
      </c>
      <c r="E12" s="48">
        <f t="shared" si="0"/>
        <v>1155096.1200000001</v>
      </c>
      <c r="F12" s="49"/>
      <c r="G12" s="103">
        <f>248397.08-15874.59</f>
        <v>232522.49</v>
      </c>
      <c r="H12" s="49">
        <f t="shared" si="1"/>
        <v>922573.63000000012</v>
      </c>
      <c r="I12" s="29"/>
      <c r="J12" s="49">
        <f t="shared" si="2"/>
        <v>922573.63000000012</v>
      </c>
      <c r="K12" s="108"/>
    </row>
    <row r="13" spans="1:11" s="1" customFormat="1" ht="15" customHeight="1" x14ac:dyDescent="0.35">
      <c r="A13" s="75">
        <v>3125</v>
      </c>
      <c r="B13" s="41" t="s">
        <v>11</v>
      </c>
      <c r="C13" s="48">
        <v>1051684.47</v>
      </c>
      <c r="D13" s="48">
        <v>280792.46000000002</v>
      </c>
      <c r="E13" s="48">
        <f t="shared" si="0"/>
        <v>1332476.93</v>
      </c>
      <c r="F13" s="49"/>
      <c r="G13" s="103"/>
      <c r="H13" s="49">
        <f t="shared" si="1"/>
        <v>1332476.93</v>
      </c>
      <c r="I13" s="29"/>
      <c r="J13" s="49">
        <f t="shared" si="2"/>
        <v>1332476.93</v>
      </c>
      <c r="K13" s="108"/>
    </row>
    <row r="14" spans="1:11" s="1" customFormat="1" ht="15" customHeight="1" x14ac:dyDescent="0.35">
      <c r="A14" s="75">
        <v>3127</v>
      </c>
      <c r="B14" s="41" t="s">
        <v>12</v>
      </c>
      <c r="C14" s="48">
        <v>73475.33</v>
      </c>
      <c r="D14" s="48">
        <v>96211.67</v>
      </c>
      <c r="E14" s="48">
        <f t="shared" si="0"/>
        <v>169687</v>
      </c>
      <c r="F14" s="49"/>
      <c r="G14" s="103"/>
      <c r="H14" s="49">
        <f t="shared" si="1"/>
        <v>169687</v>
      </c>
      <c r="I14" s="29"/>
      <c r="J14" s="49">
        <f t="shared" si="2"/>
        <v>169687</v>
      </c>
      <c r="K14" s="108"/>
    </row>
    <row r="15" spans="1:11" s="1" customFormat="1" ht="15" customHeight="1" x14ac:dyDescent="0.35">
      <c r="A15" s="75">
        <v>3130</v>
      </c>
      <c r="B15" s="40" t="s">
        <v>13</v>
      </c>
      <c r="C15" s="68">
        <v>544099.94999999995</v>
      </c>
      <c r="D15" s="50">
        <v>175296.31</v>
      </c>
      <c r="E15" s="68">
        <f t="shared" si="0"/>
        <v>719396.26</v>
      </c>
      <c r="F15" s="68"/>
      <c r="G15" s="50"/>
      <c r="H15" s="68">
        <f t="shared" si="1"/>
        <v>719396.26</v>
      </c>
      <c r="I15" s="129"/>
      <c r="J15" s="68">
        <f t="shared" si="2"/>
        <v>719396.26</v>
      </c>
      <c r="K15" s="108"/>
    </row>
    <row r="16" spans="1:11" s="1" customFormat="1" ht="15" customHeight="1" x14ac:dyDescent="0.35">
      <c r="A16" s="75">
        <v>3131</v>
      </c>
      <c r="B16" s="41" t="s">
        <v>14</v>
      </c>
      <c r="C16" s="48">
        <v>50077.32</v>
      </c>
      <c r="D16" s="48">
        <v>38380.400000000001</v>
      </c>
      <c r="E16" s="48">
        <f t="shared" si="0"/>
        <v>88457.72</v>
      </c>
      <c r="F16" s="49"/>
      <c r="G16" s="103"/>
      <c r="H16" s="49">
        <f t="shared" si="1"/>
        <v>88457.72</v>
      </c>
      <c r="I16" s="29"/>
      <c r="J16" s="49">
        <f t="shared" si="2"/>
        <v>88457.72</v>
      </c>
      <c r="K16" s="108"/>
    </row>
    <row r="17" spans="1:11" s="1" customFormat="1" ht="15" customHeight="1" x14ac:dyDescent="0.35">
      <c r="A17" s="75">
        <v>3132</v>
      </c>
      <c r="B17" s="41" t="s">
        <v>15</v>
      </c>
      <c r="C17" s="48">
        <v>436675.53</v>
      </c>
      <c r="D17" s="48">
        <v>563084.24</v>
      </c>
      <c r="E17" s="48">
        <f t="shared" si="0"/>
        <v>999759.77</v>
      </c>
      <c r="F17" s="49"/>
      <c r="G17" s="103"/>
      <c r="H17" s="49">
        <f t="shared" si="1"/>
        <v>999759.77</v>
      </c>
      <c r="I17" s="29"/>
      <c r="J17" s="49">
        <f t="shared" si="2"/>
        <v>999759.77</v>
      </c>
      <c r="K17" s="108"/>
    </row>
    <row r="18" spans="1:11" s="1" customFormat="1" ht="15" customHeight="1" x14ac:dyDescent="0.35">
      <c r="A18" s="75">
        <v>3133</v>
      </c>
      <c r="B18" s="41" t="s">
        <v>16</v>
      </c>
      <c r="C18" s="48">
        <v>163864.52000000002</v>
      </c>
      <c r="D18" s="48">
        <v>67789.22</v>
      </c>
      <c r="E18" s="48">
        <f t="shared" si="0"/>
        <v>231653.74000000002</v>
      </c>
      <c r="F18" s="49"/>
      <c r="G18" s="103"/>
      <c r="H18" s="49">
        <f t="shared" si="1"/>
        <v>231653.74000000002</v>
      </c>
      <c r="I18" s="29"/>
      <c r="J18" s="49">
        <f t="shared" si="2"/>
        <v>231653.74000000002</v>
      </c>
      <c r="K18" s="108"/>
    </row>
    <row r="19" spans="1:11" s="1" customFormat="1" ht="15" customHeight="1" x14ac:dyDescent="0.35">
      <c r="A19" s="75">
        <v>3134</v>
      </c>
      <c r="B19" s="41" t="s">
        <v>17</v>
      </c>
      <c r="C19" s="48">
        <v>142910.21</v>
      </c>
      <c r="D19" s="48">
        <v>-8143.7</v>
      </c>
      <c r="E19" s="48">
        <f t="shared" si="0"/>
        <v>134766.50999999998</v>
      </c>
      <c r="F19" s="49"/>
      <c r="G19" s="103"/>
      <c r="H19" s="49">
        <f t="shared" si="1"/>
        <v>134766.50999999998</v>
      </c>
      <c r="I19" s="46"/>
      <c r="J19" s="49">
        <f t="shared" si="2"/>
        <v>134766.50999999998</v>
      </c>
      <c r="K19" s="108"/>
    </row>
    <row r="20" spans="1:11" s="1" customFormat="1" ht="15" customHeight="1" x14ac:dyDescent="0.35">
      <c r="A20" s="75">
        <v>3135</v>
      </c>
      <c r="B20" s="41" t="s">
        <v>18</v>
      </c>
      <c r="C20" s="48">
        <v>37688.42</v>
      </c>
      <c r="D20" s="48">
        <v>-1007.17</v>
      </c>
      <c r="E20" s="48">
        <f t="shared" si="0"/>
        <v>36681.25</v>
      </c>
      <c r="F20" s="49"/>
      <c r="G20" s="103"/>
      <c r="H20" s="49">
        <f t="shared" si="1"/>
        <v>36681.25</v>
      </c>
      <c r="I20" s="29"/>
      <c r="J20" s="49">
        <f t="shared" si="2"/>
        <v>36681.25</v>
      </c>
      <c r="K20" s="108"/>
    </row>
    <row r="21" spans="1:11" s="1" customFormat="1" ht="15" customHeight="1" x14ac:dyDescent="0.35">
      <c r="A21" s="75">
        <v>3140</v>
      </c>
      <c r="B21" s="40" t="s">
        <v>19</v>
      </c>
      <c r="C21" s="68">
        <v>4.45</v>
      </c>
      <c r="D21" s="50">
        <v>0</v>
      </c>
      <c r="E21" s="68">
        <f t="shared" si="0"/>
        <v>4.45</v>
      </c>
      <c r="F21" s="68"/>
      <c r="G21" s="50"/>
      <c r="H21" s="68">
        <f t="shared" si="1"/>
        <v>4.45</v>
      </c>
      <c r="I21" s="37"/>
      <c r="J21" s="68">
        <f t="shared" si="2"/>
        <v>4.45</v>
      </c>
      <c r="K21" s="108"/>
    </row>
    <row r="22" spans="1:11" s="1" customFormat="1" ht="15" customHeight="1" x14ac:dyDescent="0.35">
      <c r="A22" s="75">
        <v>3141</v>
      </c>
      <c r="B22" s="41" t="s">
        <v>20</v>
      </c>
      <c r="C22" s="48">
        <v>942053.88</v>
      </c>
      <c r="D22" s="48">
        <v>16230.73</v>
      </c>
      <c r="E22" s="48">
        <f t="shared" si="0"/>
        <v>958284.61</v>
      </c>
      <c r="F22" s="49"/>
      <c r="G22" s="104">
        <f>5900+10835.55+2553.1+1819+2553.1+42172.6+1924+10835.55+1819+24172.1+180+16586.18+18709.21-5943.66+826+1226.65+16598.52+3813.29+64273.93+142759.71-2555.19</f>
        <v>361058.63999999996</v>
      </c>
      <c r="H22" s="49">
        <f t="shared" si="1"/>
        <v>597225.97</v>
      </c>
      <c r="I22" s="29"/>
      <c r="J22" s="49">
        <f t="shared" si="2"/>
        <v>597225.97</v>
      </c>
      <c r="K22" s="108"/>
    </row>
    <row r="23" spans="1:11" s="1" customFormat="1" ht="15" customHeight="1" x14ac:dyDescent="0.35">
      <c r="A23" s="75">
        <v>3142</v>
      </c>
      <c r="B23" s="41" t="s">
        <v>21</v>
      </c>
      <c r="C23" s="48">
        <v>481620.57</v>
      </c>
      <c r="D23" s="48">
        <v>710411.55</v>
      </c>
      <c r="E23" s="48">
        <f t="shared" si="0"/>
        <v>1192032.1200000001</v>
      </c>
      <c r="F23" s="49"/>
      <c r="G23" s="103">
        <v>121000</v>
      </c>
      <c r="H23" s="49">
        <f t="shared" si="1"/>
        <v>1071032.1200000001</v>
      </c>
      <c r="I23" s="46"/>
      <c r="J23" s="49">
        <f t="shared" si="2"/>
        <v>1071032.1200000001</v>
      </c>
      <c r="K23" s="108"/>
    </row>
    <row r="24" spans="1:11" s="1" customFormat="1" ht="15" customHeight="1" x14ac:dyDescent="0.35">
      <c r="A24" s="75">
        <v>3143</v>
      </c>
      <c r="B24" s="41" t="s">
        <v>22</v>
      </c>
      <c r="C24" s="48">
        <v>75472.94</v>
      </c>
      <c r="D24" s="48">
        <v>21646.7</v>
      </c>
      <c r="E24" s="48">
        <f t="shared" si="0"/>
        <v>97119.64</v>
      </c>
      <c r="F24" s="49"/>
      <c r="G24" s="103">
        <v>315.06</v>
      </c>
      <c r="H24" s="49">
        <f t="shared" si="1"/>
        <v>96804.58</v>
      </c>
      <c r="I24" s="29"/>
      <c r="J24" s="49">
        <f t="shared" si="2"/>
        <v>96804.58</v>
      </c>
      <c r="K24" s="108"/>
    </row>
    <row r="25" spans="1:11" s="1" customFormat="1" ht="15" customHeight="1" x14ac:dyDescent="0.35">
      <c r="A25" s="75">
        <v>3144</v>
      </c>
      <c r="B25" s="41" t="s">
        <v>23</v>
      </c>
      <c r="C25" s="48">
        <v>75500.81</v>
      </c>
      <c r="D25" s="48">
        <v>35663.57</v>
      </c>
      <c r="E25" s="48">
        <f t="shared" si="0"/>
        <v>111164.38</v>
      </c>
      <c r="F25" s="49"/>
      <c r="G25" s="103"/>
      <c r="H25" s="49">
        <f t="shared" si="1"/>
        <v>111164.38</v>
      </c>
      <c r="I25" s="47"/>
      <c r="J25" s="49">
        <f t="shared" si="2"/>
        <v>111164.38</v>
      </c>
      <c r="K25" s="108"/>
    </row>
    <row r="26" spans="1:11" s="1" customFormat="1" ht="15" customHeight="1" x14ac:dyDescent="0.35">
      <c r="A26" s="75">
        <v>3145</v>
      </c>
      <c r="B26" s="41" t="s">
        <v>24</v>
      </c>
      <c r="C26" s="48">
        <v>343069.27</v>
      </c>
      <c r="D26" s="48">
        <v>200270.76</v>
      </c>
      <c r="E26" s="48">
        <f t="shared" si="0"/>
        <v>543340.03</v>
      </c>
      <c r="F26" s="49"/>
      <c r="G26" s="103"/>
      <c r="H26" s="49">
        <f t="shared" si="1"/>
        <v>543340.03</v>
      </c>
      <c r="I26" s="47"/>
      <c r="J26" s="49">
        <f t="shared" si="2"/>
        <v>543340.03</v>
      </c>
      <c r="K26" s="108"/>
    </row>
    <row r="27" spans="1:11" s="1" customFormat="1" ht="15" customHeight="1" x14ac:dyDescent="0.35">
      <c r="A27" s="75">
        <v>3150</v>
      </c>
      <c r="B27" s="40" t="s">
        <v>25</v>
      </c>
      <c r="C27" s="68">
        <v>0</v>
      </c>
      <c r="D27" s="50">
        <v>0</v>
      </c>
      <c r="E27" s="68">
        <f t="shared" si="0"/>
        <v>0</v>
      </c>
      <c r="F27" s="68"/>
      <c r="G27" s="50"/>
      <c r="H27" s="68">
        <f t="shared" si="1"/>
        <v>0</v>
      </c>
      <c r="I27" s="37"/>
      <c r="J27" s="68">
        <f t="shared" si="2"/>
        <v>0</v>
      </c>
      <c r="K27" s="108"/>
    </row>
    <row r="28" spans="1:11" s="1" customFormat="1" ht="15" customHeight="1" x14ac:dyDescent="0.35">
      <c r="A28" s="75">
        <v>3151</v>
      </c>
      <c r="B28" s="41" t="s">
        <v>26</v>
      </c>
      <c r="C28" s="48">
        <v>196550.41999999998</v>
      </c>
      <c r="D28" s="48">
        <v>57212</v>
      </c>
      <c r="E28" s="48">
        <f t="shared" si="0"/>
        <v>253762.41999999998</v>
      </c>
      <c r="F28" s="49"/>
      <c r="G28" s="104">
        <f>13890.68-0.32+20116+55316</f>
        <v>89322.36</v>
      </c>
      <c r="H28" s="49">
        <f t="shared" si="1"/>
        <v>164440.06</v>
      </c>
      <c r="I28" s="29"/>
      <c r="J28" s="49">
        <f t="shared" si="2"/>
        <v>164440.06</v>
      </c>
      <c r="K28" s="108"/>
    </row>
    <row r="29" spans="1:11" s="1" customFormat="1" ht="15" customHeight="1" x14ac:dyDescent="0.35">
      <c r="A29" s="75">
        <v>3152</v>
      </c>
      <c r="B29" s="41" t="s">
        <v>27</v>
      </c>
      <c r="C29" s="48">
        <v>87664.26</v>
      </c>
      <c r="D29" s="48">
        <v>19012.07</v>
      </c>
      <c r="E29" s="48">
        <f t="shared" si="0"/>
        <v>106676.32999999999</v>
      </c>
      <c r="F29" s="49"/>
      <c r="G29" s="103">
        <v>75450</v>
      </c>
      <c r="H29" s="49">
        <f t="shared" si="1"/>
        <v>31226.329999999987</v>
      </c>
      <c r="I29" s="29"/>
      <c r="J29" s="49">
        <f t="shared" si="2"/>
        <v>31226.329999999987</v>
      </c>
      <c r="K29" s="108"/>
    </row>
    <row r="30" spans="1:11" s="1" customFormat="1" ht="15" customHeight="1" x14ac:dyDescent="0.35">
      <c r="A30" s="75">
        <v>3153</v>
      </c>
      <c r="B30" s="41" t="s">
        <v>28</v>
      </c>
      <c r="C30" s="48">
        <v>77955.490000000005</v>
      </c>
      <c r="D30" s="48">
        <v>41404.120000000003</v>
      </c>
      <c r="E30" s="48">
        <f t="shared" si="0"/>
        <v>119359.61000000002</v>
      </c>
      <c r="F30" s="49"/>
      <c r="G30" s="103">
        <f>121100-100-121000</f>
        <v>0</v>
      </c>
      <c r="H30" s="49">
        <f t="shared" si="1"/>
        <v>119359.61000000002</v>
      </c>
      <c r="I30" s="46"/>
      <c r="J30" s="49">
        <f t="shared" si="2"/>
        <v>119359.61000000002</v>
      </c>
      <c r="K30" s="108"/>
    </row>
    <row r="31" spans="1:11" s="1" customFormat="1" ht="15" customHeight="1" x14ac:dyDescent="0.35">
      <c r="A31" s="75">
        <v>3154</v>
      </c>
      <c r="B31" s="41" t="s">
        <v>29</v>
      </c>
      <c r="C31" s="48">
        <v>453.73999999999069</v>
      </c>
      <c r="D31" s="48">
        <v>-110963.13</v>
      </c>
      <c r="E31" s="48">
        <f t="shared" si="0"/>
        <v>-110509.39000000001</v>
      </c>
      <c r="F31" s="49"/>
      <c r="G31" s="103">
        <v>1736.34</v>
      </c>
      <c r="H31" s="130">
        <f t="shared" si="1"/>
        <v>-112245.73000000001</v>
      </c>
      <c r="I31" s="29"/>
      <c r="J31" s="130">
        <f t="shared" si="2"/>
        <v>-112245.73000000001</v>
      </c>
      <c r="K31" s="108"/>
    </row>
    <row r="32" spans="1:11" s="1" customFormat="1" ht="15" customHeight="1" x14ac:dyDescent="0.35">
      <c r="A32" s="75">
        <v>3137</v>
      </c>
      <c r="B32" s="42" t="s">
        <v>30</v>
      </c>
      <c r="C32" s="50">
        <v>363609.06999999983</v>
      </c>
      <c r="D32" s="50">
        <v>423096.23</v>
      </c>
      <c r="E32" s="50">
        <f t="shared" si="0"/>
        <v>786705.29999999981</v>
      </c>
      <c r="F32" s="50"/>
      <c r="G32" s="68">
        <f>16435+106000+59057.39+407405.9</f>
        <v>588898.29</v>
      </c>
      <c r="H32" s="68">
        <f t="shared" si="1"/>
        <v>197807.00999999978</v>
      </c>
      <c r="I32" s="37"/>
      <c r="J32" s="68">
        <f t="shared" si="2"/>
        <v>197807.00999999978</v>
      </c>
      <c r="K32" s="108"/>
    </row>
    <row r="33" spans="1:11" s="1" customFormat="1" ht="15" customHeight="1" x14ac:dyDescent="0.35">
      <c r="A33" s="75">
        <v>3701</v>
      </c>
      <c r="B33" s="41" t="s">
        <v>31</v>
      </c>
      <c r="C33" s="48">
        <v>932.36</v>
      </c>
      <c r="D33" s="49">
        <v>1378.6</v>
      </c>
      <c r="E33" s="48">
        <f t="shared" si="0"/>
        <v>2310.96</v>
      </c>
      <c r="F33" s="49"/>
      <c r="G33" s="104"/>
      <c r="H33" s="49">
        <f t="shared" si="1"/>
        <v>2310.96</v>
      </c>
      <c r="I33" s="46"/>
      <c r="J33" s="49">
        <f t="shared" si="2"/>
        <v>2310.96</v>
      </c>
      <c r="K33" s="108"/>
    </row>
    <row r="34" spans="1:11" s="1" customFormat="1" ht="15" customHeight="1" x14ac:dyDescent="0.35">
      <c r="A34" s="75">
        <v>3702</v>
      </c>
      <c r="B34" s="41" t="s">
        <v>32</v>
      </c>
      <c r="C34" s="48">
        <v>23714.829999999958</v>
      </c>
      <c r="D34" s="49">
        <v>-141983.18</v>
      </c>
      <c r="E34" s="48">
        <f t="shared" si="0"/>
        <v>-118268.35000000003</v>
      </c>
      <c r="F34" s="49"/>
      <c r="G34" s="106"/>
      <c r="H34" s="130">
        <f t="shared" si="1"/>
        <v>-118268.35000000003</v>
      </c>
      <c r="I34" s="29"/>
      <c r="J34" s="130">
        <f t="shared" si="2"/>
        <v>-118268.35000000003</v>
      </c>
      <c r="K34" s="108"/>
    </row>
    <row r="35" spans="1:11" s="1" customFormat="1" ht="15" customHeight="1" x14ac:dyDescent="0.35">
      <c r="A35" s="75">
        <v>3703</v>
      </c>
      <c r="B35" s="41" t="s">
        <v>33</v>
      </c>
      <c r="C35" s="48">
        <v>-172831.67000000004</v>
      </c>
      <c r="D35" s="48">
        <v>96319.49</v>
      </c>
      <c r="E35" s="48">
        <f t="shared" si="0"/>
        <v>-76512.180000000037</v>
      </c>
      <c r="F35" s="49">
        <v>-6428.81</v>
      </c>
      <c r="G35" s="103">
        <v>51438.57</v>
      </c>
      <c r="H35" s="130">
        <f t="shared" si="1"/>
        <v>-134379.56000000003</v>
      </c>
      <c r="I35" s="47"/>
      <c r="J35" s="130">
        <f t="shared" si="2"/>
        <v>-134379.56000000003</v>
      </c>
      <c r="K35" s="108"/>
    </row>
    <row r="36" spans="1:11" s="1" customFormat="1" ht="15" customHeight="1" x14ac:dyDescent="0.35">
      <c r="A36" s="75">
        <v>3704</v>
      </c>
      <c r="B36" s="41" t="s">
        <v>34</v>
      </c>
      <c r="C36" s="48">
        <v>59132.4</v>
      </c>
      <c r="D36" s="48">
        <v>257143.08</v>
      </c>
      <c r="E36" s="48">
        <f t="shared" si="0"/>
        <v>316275.48</v>
      </c>
      <c r="F36" s="49"/>
      <c r="G36" s="103">
        <v>7140</v>
      </c>
      <c r="H36" s="49">
        <f t="shared" si="1"/>
        <v>309135.48</v>
      </c>
      <c r="I36" s="29"/>
      <c r="J36" s="49">
        <f t="shared" si="2"/>
        <v>309135.48</v>
      </c>
      <c r="K36" s="108"/>
    </row>
    <row r="37" spans="1:11" s="1" customFormat="1" ht="15" customHeight="1" x14ac:dyDescent="0.35">
      <c r="A37" s="75">
        <v>3705</v>
      </c>
      <c r="B37" s="41" t="s">
        <v>35</v>
      </c>
      <c r="C37" s="48">
        <v>112103.47</v>
      </c>
      <c r="D37" s="49">
        <v>-21048.86</v>
      </c>
      <c r="E37" s="48">
        <f t="shared" si="0"/>
        <v>91054.61</v>
      </c>
      <c r="F37" s="49"/>
      <c r="G37" s="104">
        <f>26195+9928</f>
        <v>36123</v>
      </c>
      <c r="H37" s="49">
        <f t="shared" si="1"/>
        <v>54931.61</v>
      </c>
      <c r="I37" s="29"/>
      <c r="J37" s="49">
        <f t="shared" si="2"/>
        <v>54931.61</v>
      </c>
      <c r="K37" s="108"/>
    </row>
    <row r="38" spans="1:11" s="1" customFormat="1" ht="15" customHeight="1" x14ac:dyDescent="0.35">
      <c r="A38" s="75">
        <v>3706</v>
      </c>
      <c r="B38" s="41" t="s">
        <v>36</v>
      </c>
      <c r="C38" s="48">
        <v>112533.64</v>
      </c>
      <c r="D38" s="49">
        <v>64456.6</v>
      </c>
      <c r="E38" s="48">
        <f t="shared" si="0"/>
        <v>176990.24</v>
      </c>
      <c r="F38" s="49"/>
      <c r="G38" s="103">
        <f>168245+77210.65-168245</f>
        <v>77210.649999999994</v>
      </c>
      <c r="H38" s="49">
        <f t="shared" si="1"/>
        <v>99779.59</v>
      </c>
      <c r="I38" s="29"/>
      <c r="J38" s="49">
        <f t="shared" si="2"/>
        <v>99779.59</v>
      </c>
      <c r="K38" s="108"/>
    </row>
    <row r="39" spans="1:11" s="1" customFormat="1" ht="15" customHeight="1" x14ac:dyDescent="0.35">
      <c r="A39" s="75">
        <v>3720</v>
      </c>
      <c r="B39" s="42" t="s">
        <v>37</v>
      </c>
      <c r="C39" s="50">
        <v>2738901.41</v>
      </c>
      <c r="D39" s="50">
        <v>-565460.43000000005</v>
      </c>
      <c r="E39" s="50">
        <f t="shared" si="0"/>
        <v>2173440.98</v>
      </c>
      <c r="F39" s="68"/>
      <c r="G39" s="50">
        <f>270000+1350750</f>
        <v>1620750</v>
      </c>
      <c r="H39" s="68">
        <f t="shared" si="1"/>
        <v>552690.98</v>
      </c>
      <c r="I39" s="129"/>
      <c r="J39" s="68">
        <f t="shared" si="2"/>
        <v>552690.98</v>
      </c>
      <c r="K39" s="108"/>
    </row>
    <row r="40" spans="1:11" s="1" customFormat="1" ht="15" customHeight="1" x14ac:dyDescent="0.35">
      <c r="A40" s="75">
        <v>3721</v>
      </c>
      <c r="B40" s="41" t="s">
        <v>38</v>
      </c>
      <c r="C40" s="48">
        <v>760338.93000000017</v>
      </c>
      <c r="D40" s="49">
        <v>2425072.9</v>
      </c>
      <c r="E40" s="48">
        <f t="shared" si="0"/>
        <v>3185411.83</v>
      </c>
      <c r="F40" s="49"/>
      <c r="G40" s="104">
        <v>17666</v>
      </c>
      <c r="H40" s="49">
        <f t="shared" si="1"/>
        <v>3167745.83</v>
      </c>
      <c r="I40" s="47"/>
      <c r="J40" s="49">
        <f t="shared" si="2"/>
        <v>3167745.83</v>
      </c>
      <c r="K40" s="108"/>
    </row>
    <row r="41" spans="1:11" s="1" customFormat="1" ht="15" customHeight="1" x14ac:dyDescent="0.35">
      <c r="A41" s="75">
        <v>3722</v>
      </c>
      <c r="B41" s="41" t="s">
        <v>39</v>
      </c>
      <c r="C41" s="48">
        <v>3848997.34</v>
      </c>
      <c r="D41" s="48">
        <v>93299.37</v>
      </c>
      <c r="E41" s="48">
        <f t="shared" si="0"/>
        <v>3942296.71</v>
      </c>
      <c r="F41" s="49"/>
      <c r="G41" s="103">
        <v>5181.54</v>
      </c>
      <c r="H41" s="49">
        <f t="shared" si="1"/>
        <v>3937115.17</v>
      </c>
      <c r="I41" s="46"/>
      <c r="J41" s="49">
        <f t="shared" si="2"/>
        <v>3937115.17</v>
      </c>
      <c r="K41" s="108"/>
    </row>
    <row r="42" spans="1:11" s="1" customFormat="1" ht="15" customHeight="1" x14ac:dyDescent="0.35">
      <c r="A42" s="75">
        <v>3723</v>
      </c>
      <c r="B42" s="41" t="s">
        <v>40</v>
      </c>
      <c r="C42" s="48">
        <v>2680769.8899999997</v>
      </c>
      <c r="D42" s="48">
        <v>458479.34</v>
      </c>
      <c r="E42" s="48">
        <f t="shared" si="0"/>
        <v>3139249.2299999995</v>
      </c>
      <c r="F42" s="49"/>
      <c r="G42" s="106"/>
      <c r="H42" s="49">
        <f t="shared" si="1"/>
        <v>3139249.2299999995</v>
      </c>
      <c r="I42" s="29"/>
      <c r="J42" s="49">
        <f t="shared" si="2"/>
        <v>3139249.2299999995</v>
      </c>
      <c r="K42" s="108"/>
    </row>
    <row r="43" spans="1:11" s="1" customFormat="1" ht="15" customHeight="1" x14ac:dyDescent="0.35">
      <c r="A43" s="75">
        <v>3724</v>
      </c>
      <c r="B43" s="41" t="s">
        <v>41</v>
      </c>
      <c r="C43" s="48">
        <v>8365502.1099999994</v>
      </c>
      <c r="D43" s="49">
        <v>260856.24</v>
      </c>
      <c r="E43" s="48">
        <f t="shared" si="0"/>
        <v>8626358.3499999996</v>
      </c>
      <c r="F43" s="49"/>
      <c r="G43" s="106"/>
      <c r="H43" s="49">
        <f t="shared" si="1"/>
        <v>8626358.3499999996</v>
      </c>
      <c r="I43" s="29"/>
      <c r="J43" s="49">
        <f t="shared" si="2"/>
        <v>8626358.3499999996</v>
      </c>
      <c r="K43" s="108"/>
    </row>
    <row r="44" spans="1:11" s="1" customFormat="1" ht="15" customHeight="1" x14ac:dyDescent="0.35">
      <c r="A44" s="75">
        <v>3725</v>
      </c>
      <c r="B44" s="41" t="s">
        <v>42</v>
      </c>
      <c r="C44" s="48">
        <v>447675.35</v>
      </c>
      <c r="D44" s="49">
        <v>482828.01</v>
      </c>
      <c r="E44" s="48">
        <f t="shared" si="0"/>
        <v>930503.36</v>
      </c>
      <c r="F44" s="49"/>
      <c r="G44" s="106"/>
      <c r="H44" s="49">
        <f t="shared" si="1"/>
        <v>930503.36</v>
      </c>
      <c r="I44" s="29"/>
      <c r="J44" s="49">
        <f t="shared" si="2"/>
        <v>930503.36</v>
      </c>
      <c r="K44" s="108"/>
    </row>
    <row r="45" spans="1:11" s="1" customFormat="1" ht="15" customHeight="1" x14ac:dyDescent="0.35">
      <c r="A45" s="75">
        <v>3726</v>
      </c>
      <c r="B45" s="41" t="s">
        <v>43</v>
      </c>
      <c r="C45" s="48">
        <v>6976745.4100000001</v>
      </c>
      <c r="D45" s="48">
        <v>1985543.64</v>
      </c>
      <c r="E45" s="48">
        <f t="shared" si="0"/>
        <v>8962289.0500000007</v>
      </c>
      <c r="F45" s="123">
        <v>-493470</v>
      </c>
      <c r="G45" s="105"/>
      <c r="H45" s="49">
        <f t="shared" si="1"/>
        <v>8468819.0500000007</v>
      </c>
      <c r="I45" s="29"/>
      <c r="J45" s="49">
        <f t="shared" si="2"/>
        <v>8468819.0500000007</v>
      </c>
      <c r="K45" s="108"/>
    </row>
    <row r="46" spans="1:11" s="1" customFormat="1" ht="15" customHeight="1" x14ac:dyDescent="0.35">
      <c r="A46" s="75">
        <v>3727</v>
      </c>
      <c r="B46" s="41" t="s">
        <v>44</v>
      </c>
      <c r="C46" s="48">
        <v>303624.93000000005</v>
      </c>
      <c r="D46" s="48">
        <v>35253.19</v>
      </c>
      <c r="E46" s="48">
        <f t="shared" si="0"/>
        <v>338878.12000000005</v>
      </c>
      <c r="F46" s="49"/>
      <c r="G46" s="104">
        <v>133000</v>
      </c>
      <c r="H46" s="49">
        <f t="shared" si="1"/>
        <v>205878.12000000005</v>
      </c>
      <c r="I46" s="29"/>
      <c r="J46" s="49">
        <f t="shared" si="2"/>
        <v>205878.12000000005</v>
      </c>
      <c r="K46" s="108"/>
    </row>
    <row r="47" spans="1:11" s="1" customFormat="1" ht="15.5" x14ac:dyDescent="0.35">
      <c r="A47" s="75">
        <v>3728</v>
      </c>
      <c r="B47" s="41" t="s">
        <v>45</v>
      </c>
      <c r="C47" s="48">
        <v>38103.129999999997</v>
      </c>
      <c r="D47" s="48">
        <v>90467.1</v>
      </c>
      <c r="E47" s="48">
        <f t="shared" si="0"/>
        <v>128570.23000000001</v>
      </c>
      <c r="F47" s="49"/>
      <c r="G47" s="103"/>
      <c r="H47" s="49">
        <f t="shared" si="1"/>
        <v>128570.23000000001</v>
      </c>
      <c r="I47" s="47"/>
      <c r="J47" s="49">
        <f t="shared" si="2"/>
        <v>128570.23000000001</v>
      </c>
      <c r="K47" s="108"/>
    </row>
    <row r="48" spans="1:11" s="1" customFormat="1" ht="15" customHeight="1" thickBot="1" x14ac:dyDescent="0.4">
      <c r="A48" s="20" t="s">
        <v>77</v>
      </c>
      <c r="B48" s="14" t="s">
        <v>64</v>
      </c>
      <c r="C48" s="115">
        <f>4348190.23+171935</f>
        <v>4520125.2300000004</v>
      </c>
      <c r="D48" s="115">
        <v>6149187.5199999996</v>
      </c>
      <c r="E48" s="115">
        <f t="shared" si="0"/>
        <v>10669312.75</v>
      </c>
      <c r="F48" s="76"/>
      <c r="G48" s="107"/>
      <c r="H48" s="76">
        <f t="shared" si="1"/>
        <v>10669312.75</v>
      </c>
      <c r="I48" s="131"/>
      <c r="J48" s="76">
        <f t="shared" si="2"/>
        <v>10669312.75</v>
      </c>
      <c r="K48" s="108"/>
    </row>
    <row r="49" spans="1:11" s="1" customFormat="1" ht="30" customHeight="1" thickBot="1" x14ac:dyDescent="0.4">
      <c r="A49" s="69" t="s">
        <v>46</v>
      </c>
      <c r="B49" s="70"/>
      <c r="C49" s="116">
        <v>36437885.079999998</v>
      </c>
      <c r="D49" s="71">
        <f>SUM(D6:D48)</f>
        <v>15313301.819999998</v>
      </c>
      <c r="E49" s="116">
        <f>SUM(E6:E48)</f>
        <v>51751186.899999991</v>
      </c>
      <c r="F49" s="71">
        <f>SUM(F6:F48)</f>
        <v>-541889.71</v>
      </c>
      <c r="G49" s="71">
        <f>SUM(G6:G48)</f>
        <v>3401146.94</v>
      </c>
      <c r="H49" s="118">
        <f>SUM(H6:H48)</f>
        <v>47808150.25</v>
      </c>
      <c r="I49" s="132">
        <f t="shared" ref="I49:J49" si="3">SUM(I6:I48)</f>
        <v>0</v>
      </c>
      <c r="J49" s="118">
        <f t="shared" si="3"/>
        <v>47808150.25</v>
      </c>
      <c r="K49" s="108"/>
    </row>
    <row r="50" spans="1:11" s="1" customFormat="1" ht="21.75" customHeight="1" x14ac:dyDescent="0.35">
      <c r="A50" s="33"/>
      <c r="B50" s="33"/>
      <c r="C50" s="117">
        <v>36437885.079999998</v>
      </c>
      <c r="D50" s="100"/>
      <c r="E50" s="100"/>
      <c r="F50" s="44"/>
      <c r="G50" s="100">
        <f>(F49*-1)+G49</f>
        <v>3943036.65</v>
      </c>
      <c r="H50" s="34"/>
      <c r="I50" s="34"/>
      <c r="J50" s="34"/>
    </row>
    <row r="51" spans="1:11" x14ac:dyDescent="0.35">
      <c r="H51" s="27"/>
      <c r="I51" s="27"/>
      <c r="J51" s="27"/>
    </row>
    <row r="52" spans="1:11" x14ac:dyDescent="0.35">
      <c r="B52" s="120" t="s">
        <v>76</v>
      </c>
      <c r="C52" s="121">
        <f>SUM(C6:C47)</f>
        <v>31917759.850000001</v>
      </c>
      <c r="D52" s="121">
        <f t="shared" ref="D52:H52" si="4">SUM(D6:D47)</f>
        <v>9164114.2999999989</v>
      </c>
      <c r="E52" s="121">
        <f t="shared" si="4"/>
        <v>41081874.149999991</v>
      </c>
      <c r="F52" s="121">
        <f t="shared" si="4"/>
        <v>-541889.71</v>
      </c>
      <c r="G52" s="121">
        <f t="shared" si="4"/>
        <v>3401146.94</v>
      </c>
      <c r="H52" s="121">
        <f t="shared" si="4"/>
        <v>37138837.5</v>
      </c>
      <c r="I52" s="121">
        <f t="shared" ref="I52:J52" si="5">SUM(I6:I47)</f>
        <v>0</v>
      </c>
      <c r="J52" s="121">
        <f t="shared" si="5"/>
        <v>37138837.5</v>
      </c>
      <c r="K52" s="121"/>
    </row>
    <row r="53" spans="1:11" x14ac:dyDescent="0.35">
      <c r="B53" s="120" t="s">
        <v>77</v>
      </c>
      <c r="C53" s="121">
        <f>C48</f>
        <v>4520125.2300000004</v>
      </c>
      <c r="D53" s="121">
        <f t="shared" ref="D53:H53" si="6">D48</f>
        <v>6149187.5199999996</v>
      </c>
      <c r="E53" s="121">
        <f t="shared" si="6"/>
        <v>10669312.75</v>
      </c>
      <c r="F53" s="121">
        <f t="shared" si="6"/>
        <v>0</v>
      </c>
      <c r="G53" s="121">
        <f t="shared" si="6"/>
        <v>0</v>
      </c>
      <c r="H53" s="121">
        <f t="shared" si="6"/>
        <v>10669312.75</v>
      </c>
      <c r="I53" s="121">
        <f t="shared" ref="I53:J53" si="7">I48</f>
        <v>0</v>
      </c>
      <c r="J53" s="121">
        <f t="shared" si="7"/>
        <v>10669312.75</v>
      </c>
      <c r="K53" s="121"/>
    </row>
    <row r="54" spans="1:11" x14ac:dyDescent="0.35">
      <c r="C54" s="121">
        <f>SUM(C52:C53)</f>
        <v>36437885.079999998</v>
      </c>
      <c r="D54" s="121">
        <f t="shared" ref="D54:H54" si="8">SUM(D52:D53)</f>
        <v>15313301.819999998</v>
      </c>
      <c r="E54" s="121">
        <f t="shared" si="8"/>
        <v>51751186.899999991</v>
      </c>
      <c r="F54" s="121">
        <f t="shared" si="8"/>
        <v>-541889.71</v>
      </c>
      <c r="G54" s="121">
        <f t="shared" si="8"/>
        <v>3401146.94</v>
      </c>
      <c r="H54" s="121">
        <f t="shared" si="8"/>
        <v>47808150.25</v>
      </c>
      <c r="I54" s="121">
        <f t="shared" ref="I54:J54" si="9">SUM(I52:I53)</f>
        <v>0</v>
      </c>
      <c r="J54" s="121">
        <f t="shared" si="9"/>
        <v>47808150.25</v>
      </c>
      <c r="K54" s="121"/>
    </row>
    <row r="60" spans="1:11" x14ac:dyDescent="0.35">
      <c r="I60" s="67"/>
    </row>
    <row r="61" spans="1:11" x14ac:dyDescent="0.35">
      <c r="I61" s="121"/>
    </row>
    <row r="62" spans="1:11" x14ac:dyDescent="0.35">
      <c r="I62" s="121"/>
    </row>
    <row r="63" spans="1:11" x14ac:dyDescent="0.35">
      <c r="I63" s="121"/>
    </row>
  </sheetData>
  <mergeCells count="10">
    <mergeCell ref="J4:J5"/>
    <mergeCell ref="I4:I5"/>
    <mergeCell ref="G4:G5"/>
    <mergeCell ref="H4:H5"/>
    <mergeCell ref="A4:A5"/>
    <mergeCell ref="B4:B5"/>
    <mergeCell ref="D4:D5"/>
    <mergeCell ref="F4:F5"/>
    <mergeCell ref="C4:C5"/>
    <mergeCell ref="E4:E5"/>
  </mergeCells>
  <pageMargins left="0.70866141732283472" right="0.70866141732283472" top="0.78740157480314965" bottom="0.78740157480314965" header="0.31496062992125984" footer="0.31496062992125984"/>
  <pageSetup paperSize="8" scale="8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FRIM - 80, 81</vt:lpstr>
      <vt:lpstr> FPP - 82</vt:lpstr>
      <vt:lpstr>FPP HV - 82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Lenka Káňová</dc:creator>
  <cp:lastModifiedBy>Ing. Lenka Káňová</cp:lastModifiedBy>
  <cp:lastPrinted>2020-03-05T06:11:48Z</cp:lastPrinted>
  <dcterms:created xsi:type="dcterms:W3CDTF">2018-07-23T08:23:15Z</dcterms:created>
  <dcterms:modified xsi:type="dcterms:W3CDTF">2020-04-25T07:18:00Z</dcterms:modified>
</cp:coreProperties>
</file>