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Z:\Home\kanoval\záloha\TAJEMNÍK\Rozpočty\2020\PŘF\Zprávy o hospodaření\Průběžná zpráva o hospodaření 31.8.2020\FINAL\"/>
    </mc:Choice>
  </mc:AlternateContent>
  <bookViews>
    <workbookView xWindow="0" yWindow="0" windowWidth="28800" windowHeight="12000"/>
  </bookViews>
  <sheets>
    <sheet name="Rozpočet 2020" sheetId="17" r:id="rId1"/>
    <sheet name="srovnání s rokem 2014-hodnoty" sheetId="18" state="hidden" r:id="rId2"/>
    <sheet name="Rozpočet 2016" sheetId="20" state="hidden" r:id="rId3"/>
  </sheets>
  <calcPr calcId="162913"/>
</workbook>
</file>

<file path=xl/calcChain.xml><?xml version="1.0" encoding="utf-8"?>
<calcChain xmlns="http://schemas.openxmlformats.org/spreadsheetml/2006/main">
  <c r="J71" i="17" l="1"/>
  <c r="Q75" i="17"/>
  <c r="Q76" i="17"/>
  <c r="Q77" i="17"/>
  <c r="Q78" i="17"/>
  <c r="Q79" i="17"/>
  <c r="Q80" i="17"/>
  <c r="Q81" i="17"/>
  <c r="Q82" i="17"/>
  <c r="Q83" i="17"/>
  <c r="Q84" i="17"/>
  <c r="Q85" i="17"/>
  <c r="Q86" i="17"/>
  <c r="Q87" i="17"/>
  <c r="Q88" i="17"/>
  <c r="Q74" i="17"/>
  <c r="P75" i="17"/>
  <c r="P76" i="17"/>
  <c r="P77" i="17"/>
  <c r="P78" i="17"/>
  <c r="P79" i="17"/>
  <c r="P80" i="17"/>
  <c r="P81" i="17"/>
  <c r="P82" i="17"/>
  <c r="P83" i="17"/>
  <c r="P84" i="17"/>
  <c r="P85" i="17"/>
  <c r="P86" i="17"/>
  <c r="P87" i="17"/>
  <c r="P88" i="17"/>
  <c r="P74" i="17"/>
  <c r="Q22" i="17"/>
  <c r="Q23" i="17"/>
  <c r="Q24" i="17"/>
  <c r="Q25" i="17"/>
  <c r="Q26" i="17"/>
  <c r="Q27" i="17"/>
  <c r="Q28" i="17"/>
  <c r="Q29" i="17"/>
  <c r="Q30" i="17"/>
  <c r="Q31" i="17"/>
  <c r="Q32" i="17"/>
  <c r="Q33" i="17"/>
  <c r="Q34" i="17"/>
  <c r="Q35" i="17"/>
  <c r="Q36" i="17"/>
  <c r="Q37" i="17"/>
  <c r="Q38" i="17"/>
  <c r="Q39" i="17"/>
  <c r="Q40" i="17"/>
  <c r="Q41" i="17"/>
  <c r="Q42" i="17"/>
  <c r="Q43" i="17"/>
  <c r="Q44" i="17"/>
  <c r="Q45" i="17"/>
  <c r="Q46" i="17"/>
  <c r="Q47" i="17"/>
  <c r="Q48" i="17"/>
  <c r="Q49" i="17"/>
  <c r="Q50" i="17"/>
  <c r="Q51" i="17"/>
  <c r="Q52" i="17"/>
  <c r="Q53" i="17"/>
  <c r="Q54" i="17"/>
  <c r="Q55" i="17"/>
  <c r="Q56" i="17"/>
  <c r="Q57" i="17"/>
  <c r="Q58" i="17"/>
  <c r="Q59" i="17"/>
  <c r="Q60" i="17"/>
  <c r="Q61" i="17"/>
  <c r="Q21" i="17"/>
  <c r="R97" i="17" l="1"/>
  <c r="N93" i="17"/>
  <c r="Q93" i="17" s="1"/>
  <c r="P93" i="17"/>
  <c r="R93" i="17" l="1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74" i="17"/>
  <c r="H89" i="17"/>
  <c r="G89" i="17"/>
  <c r="H90" i="17" l="1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1" i="17"/>
  <c r="J20" i="17"/>
  <c r="J7" i="17"/>
  <c r="I62" i="17"/>
  <c r="E62" i="17"/>
  <c r="F62" i="17"/>
  <c r="H12" i="17"/>
  <c r="K90" i="17" l="1"/>
  <c r="L90" i="17"/>
  <c r="M90" i="17"/>
  <c r="N90" i="17"/>
  <c r="J90" i="17"/>
  <c r="K62" i="17"/>
  <c r="L62" i="17"/>
  <c r="M62" i="17"/>
  <c r="N62" i="17"/>
  <c r="R108" i="17"/>
  <c r="R106" i="17"/>
  <c r="R103" i="17"/>
  <c r="R96" i="17"/>
  <c r="O90" i="17" l="1"/>
  <c r="P22" i="17"/>
  <c r="P23" i="17"/>
  <c r="P24" i="17"/>
  <c r="P25" i="17"/>
  <c r="P26" i="17"/>
  <c r="P27" i="17"/>
  <c r="P28" i="17"/>
  <c r="P29" i="17"/>
  <c r="P30" i="17"/>
  <c r="P31" i="17"/>
  <c r="P32" i="17"/>
  <c r="P33" i="17"/>
  <c r="P34" i="17"/>
  <c r="P35" i="17"/>
  <c r="P36" i="17"/>
  <c r="P37" i="17"/>
  <c r="P38" i="17"/>
  <c r="P39" i="17"/>
  <c r="P40" i="17"/>
  <c r="P41" i="17"/>
  <c r="P42" i="17"/>
  <c r="P43" i="17"/>
  <c r="P44" i="17"/>
  <c r="P45" i="17"/>
  <c r="P46" i="17"/>
  <c r="P47" i="17"/>
  <c r="P48" i="17"/>
  <c r="P49" i="17"/>
  <c r="P50" i="17"/>
  <c r="P51" i="17"/>
  <c r="P52" i="17"/>
  <c r="P53" i="17"/>
  <c r="P54" i="17"/>
  <c r="P55" i="17"/>
  <c r="P56" i="17"/>
  <c r="P57" i="17"/>
  <c r="P58" i="17"/>
  <c r="P59" i="17"/>
  <c r="P60" i="17"/>
  <c r="P61" i="17"/>
  <c r="P21" i="17"/>
  <c r="P62" i="17" l="1"/>
  <c r="Q62" i="17"/>
  <c r="O84" i="17"/>
  <c r="O53" i="17"/>
  <c r="O46" i="17"/>
  <c r="R84" i="17" l="1"/>
  <c r="P116" i="17"/>
  <c r="O116" i="17"/>
  <c r="J16" i="17" l="1"/>
  <c r="J17" i="17"/>
  <c r="J18" i="17"/>
  <c r="H62" i="17"/>
  <c r="G62" i="17"/>
  <c r="G14" i="17" l="1"/>
  <c r="G12" i="17"/>
  <c r="G9" i="17"/>
  <c r="H9" i="17"/>
  <c r="D62" i="17"/>
  <c r="J12" i="17" l="1"/>
  <c r="H10" i="17"/>
  <c r="H19" i="17"/>
  <c r="G10" i="17"/>
  <c r="G19" i="17"/>
  <c r="H14" i="17"/>
  <c r="O75" i="17" l="1"/>
  <c r="O76" i="17"/>
  <c r="O77" i="17"/>
  <c r="O78" i="17"/>
  <c r="O79" i="17"/>
  <c r="O80" i="17"/>
  <c r="O81" i="17"/>
  <c r="O82" i="17"/>
  <c r="O83" i="17"/>
  <c r="O85" i="17"/>
  <c r="O86" i="17"/>
  <c r="O87" i="17"/>
  <c r="O88" i="17"/>
  <c r="O74" i="17"/>
  <c r="P89" i="17" l="1"/>
  <c r="Q89" i="17"/>
  <c r="R87" i="17"/>
  <c r="R86" i="17"/>
  <c r="R85" i="17"/>
  <c r="R80" i="17"/>
  <c r="R88" i="17"/>
  <c r="R82" i="17"/>
  <c r="R78" i="17"/>
  <c r="R76" i="17"/>
  <c r="R74" i="17"/>
  <c r="R83" i="17"/>
  <c r="R81" i="17"/>
  <c r="R79" i="17"/>
  <c r="R77" i="17"/>
  <c r="R75" i="17"/>
  <c r="B69" i="17" l="1"/>
  <c r="J15" i="17" l="1"/>
  <c r="O61" i="17" l="1"/>
  <c r="J9" i="17"/>
  <c r="R61" i="17" l="1"/>
  <c r="O60" i="17" l="1"/>
  <c r="J65" i="20" l="1"/>
  <c r="I59" i="20"/>
  <c r="R59" i="20" s="1"/>
  <c r="F59" i="20"/>
  <c r="R58" i="20"/>
  <c r="D58" i="20"/>
  <c r="I57" i="20"/>
  <c r="R57" i="20" s="1"/>
  <c r="I56" i="20"/>
  <c r="R56" i="20" s="1"/>
  <c r="D56" i="20"/>
  <c r="R55" i="20"/>
  <c r="D55" i="20"/>
  <c r="I54" i="20"/>
  <c r="R54" i="20" s="1"/>
  <c r="D54" i="20"/>
  <c r="I53" i="20"/>
  <c r="R53" i="20" s="1"/>
  <c r="I52" i="20"/>
  <c r="R52" i="20" s="1"/>
  <c r="D52" i="20"/>
  <c r="R51" i="20"/>
  <c r="D51" i="20"/>
  <c r="I50" i="20"/>
  <c r="R50" i="20" s="1"/>
  <c r="R49" i="20"/>
  <c r="D49" i="20"/>
  <c r="R48" i="20"/>
  <c r="R47" i="20"/>
  <c r="D47" i="20"/>
  <c r="R46" i="20"/>
  <c r="D46" i="20"/>
  <c r="Z45" i="20"/>
  <c r="Y45" i="20"/>
  <c r="I45" i="20"/>
  <c r="R45" i="20" s="1"/>
  <c r="V44" i="20"/>
  <c r="X44" i="20" s="1"/>
  <c r="I44" i="20"/>
  <c r="R44" i="20" s="1"/>
  <c r="V43" i="20"/>
  <c r="X43" i="20" s="1"/>
  <c r="I43" i="20"/>
  <c r="R43" i="20" s="1"/>
  <c r="I42" i="20"/>
  <c r="R42" i="20" s="1"/>
  <c r="D42" i="20"/>
  <c r="W41" i="20"/>
  <c r="V41" i="20"/>
  <c r="I41" i="20"/>
  <c r="R41" i="20" s="1"/>
  <c r="D41" i="20"/>
  <c r="I40" i="20"/>
  <c r="F40" i="20"/>
  <c r="H40" i="20" s="1"/>
  <c r="I39" i="20"/>
  <c r="R39" i="20" s="1"/>
  <c r="D39" i="20"/>
  <c r="I38" i="20"/>
  <c r="R38" i="20" s="1"/>
  <c r="I37" i="20"/>
  <c r="R37" i="20" s="1"/>
  <c r="D37" i="20"/>
  <c r="I36" i="20"/>
  <c r="R36" i="20" s="1"/>
  <c r="I35" i="20"/>
  <c r="R35" i="20" s="1"/>
  <c r="D35" i="20"/>
  <c r="I34" i="20"/>
  <c r="R34" i="20" s="1"/>
  <c r="F34" i="20"/>
  <c r="H34" i="20" s="1"/>
  <c r="I33" i="20"/>
  <c r="R33" i="20" s="1"/>
  <c r="D33" i="20"/>
  <c r="I32" i="20"/>
  <c r="R32" i="20" s="1"/>
  <c r="D32" i="20"/>
  <c r="I31" i="20"/>
  <c r="R31" i="20" s="1"/>
  <c r="D31" i="20"/>
  <c r="I30" i="20"/>
  <c r="R30" i="20" s="1"/>
  <c r="D30" i="20"/>
  <c r="I29" i="20"/>
  <c r="R29" i="20" s="1"/>
  <c r="D29" i="20"/>
  <c r="I28" i="20"/>
  <c r="R28" i="20" s="1"/>
  <c r="F28" i="20"/>
  <c r="H28" i="20" s="1"/>
  <c r="I27" i="20"/>
  <c r="R27" i="20" s="1"/>
  <c r="D27" i="20"/>
  <c r="I26" i="20"/>
  <c r="R26" i="20" s="1"/>
  <c r="D26" i="20"/>
  <c r="I25" i="20"/>
  <c r="R25" i="20" s="1"/>
  <c r="D25" i="20"/>
  <c r="I24" i="20"/>
  <c r="R24" i="20" s="1"/>
  <c r="D24" i="20"/>
  <c r="I23" i="20"/>
  <c r="R23" i="20" s="1"/>
  <c r="F23" i="20"/>
  <c r="H23" i="20" s="1"/>
  <c r="I22" i="20"/>
  <c r="R22" i="20" s="1"/>
  <c r="D22" i="20"/>
  <c r="I21" i="20"/>
  <c r="R21" i="20" s="1"/>
  <c r="D21" i="20"/>
  <c r="U20" i="20"/>
  <c r="I20" i="20"/>
  <c r="R20" i="20" s="1"/>
  <c r="D20" i="20"/>
  <c r="I19" i="20"/>
  <c r="R19" i="20" s="1"/>
  <c r="F19" i="20"/>
  <c r="H19" i="20" s="1"/>
  <c r="G18" i="20"/>
  <c r="E18" i="20"/>
  <c r="G17" i="20"/>
  <c r="I17" i="20" s="1"/>
  <c r="F16" i="20"/>
  <c r="I15" i="20"/>
  <c r="H15" i="20"/>
  <c r="D14" i="20"/>
  <c r="E13" i="20"/>
  <c r="D13" i="20"/>
  <c r="H11" i="20"/>
  <c r="R10" i="20"/>
  <c r="I10" i="20"/>
  <c r="I2" i="20" s="1"/>
  <c r="H9" i="20"/>
  <c r="H12" i="20" s="1"/>
  <c r="O8" i="20"/>
  <c r="I8" i="20"/>
  <c r="J8" i="20" s="1"/>
  <c r="H2" i="20"/>
  <c r="I9" i="20" l="1"/>
  <c r="I12" i="20" s="1"/>
  <c r="I13" i="20" s="1"/>
  <c r="R13" i="20" s="1"/>
  <c r="I11" i="20"/>
  <c r="E62" i="20"/>
  <c r="X41" i="20"/>
  <c r="X45" i="20" s="1"/>
  <c r="G62" i="20"/>
  <c r="R60" i="17"/>
  <c r="R41" i="17"/>
  <c r="R29" i="17"/>
  <c r="R24" i="17"/>
  <c r="R35" i="17"/>
  <c r="I18" i="20"/>
  <c r="R18" i="20" s="1"/>
  <c r="I62" i="20"/>
  <c r="D18" i="20"/>
  <c r="D62" i="20" s="1"/>
  <c r="V20" i="20"/>
  <c r="J28" i="20"/>
  <c r="Q28" i="20"/>
  <c r="S28" i="20" s="1"/>
  <c r="Q34" i="20"/>
  <c r="S34" i="20" s="1"/>
  <c r="J34" i="20"/>
  <c r="Q23" i="20"/>
  <c r="S23" i="20" s="1"/>
  <c r="J23" i="20"/>
  <c r="J40" i="20"/>
  <c r="Q40" i="20"/>
  <c r="K10" i="20"/>
  <c r="R8" i="20"/>
  <c r="R11" i="20" s="1"/>
  <c r="H13" i="20"/>
  <c r="Q13" i="20" s="1"/>
  <c r="J13" i="20"/>
  <c r="J66" i="20"/>
  <c r="J19" i="20"/>
  <c r="Q19" i="20"/>
  <c r="R40" i="20"/>
  <c r="Y44" i="20" l="1"/>
  <c r="Y43" i="20"/>
  <c r="Y41" i="20"/>
  <c r="K18" i="20"/>
  <c r="S13" i="20"/>
  <c r="K13" i="20"/>
  <c r="K15" i="20" s="1"/>
  <c r="S40" i="20"/>
  <c r="J10" i="17" l="1"/>
  <c r="J19" i="17"/>
  <c r="O47" i="17" l="1"/>
  <c r="F46" i="20"/>
  <c r="H46" i="20" s="1"/>
  <c r="F20" i="20" l="1"/>
  <c r="J46" i="20"/>
  <c r="Q46" i="20"/>
  <c r="S46" i="20" s="1"/>
  <c r="R47" i="17" l="1"/>
  <c r="O21" i="17"/>
  <c r="H20" i="20"/>
  <c r="R21" i="17" l="1"/>
  <c r="J20" i="20"/>
  <c r="Q20" i="20"/>
  <c r="S20" i="20" s="1"/>
  <c r="C69" i="17" l="1"/>
  <c r="O54" i="17" l="1"/>
  <c r="F53" i="20"/>
  <c r="O36" i="17"/>
  <c r="F35" i="20"/>
  <c r="H35" i="20" s="1"/>
  <c r="O27" i="17"/>
  <c r="F26" i="20"/>
  <c r="H26" i="20" s="1"/>
  <c r="F44" i="20"/>
  <c r="H44" i="20" s="1"/>
  <c r="O45" i="17"/>
  <c r="O26" i="17"/>
  <c r="F25" i="20"/>
  <c r="H25" i="20" s="1"/>
  <c r="O58" i="17"/>
  <c r="O55" i="17"/>
  <c r="O37" i="17" l="1"/>
  <c r="F36" i="20"/>
  <c r="H36" i="20" s="1"/>
  <c r="O48" i="17"/>
  <c r="F47" i="20"/>
  <c r="H47" i="20" s="1"/>
  <c r="F48" i="20"/>
  <c r="H48" i="20" s="1"/>
  <c r="O49" i="17"/>
  <c r="O50" i="17"/>
  <c r="F49" i="20"/>
  <c r="H49" i="20" s="1"/>
  <c r="O42" i="17"/>
  <c r="F41" i="20"/>
  <c r="H41" i="20" s="1"/>
  <c r="O33" i="17"/>
  <c r="F32" i="20"/>
  <c r="H32" i="20" s="1"/>
  <c r="O52" i="17"/>
  <c r="F51" i="20"/>
  <c r="H51" i="20" s="1"/>
  <c r="O44" i="17"/>
  <c r="F43" i="20"/>
  <c r="H43" i="20" s="1"/>
  <c r="F54" i="20"/>
  <c r="O38" i="17"/>
  <c r="F37" i="20"/>
  <c r="H37" i="20" s="1"/>
  <c r="O56" i="17"/>
  <c r="F55" i="20"/>
  <c r="H55" i="20" s="1"/>
  <c r="O39" i="17"/>
  <c r="F38" i="20"/>
  <c r="H38" i="20" s="1"/>
  <c r="F56" i="20"/>
  <c r="H56" i="20" s="1"/>
  <c r="O57" i="17"/>
  <c r="O40" i="17"/>
  <c r="F39" i="20"/>
  <c r="H39" i="20" s="1"/>
  <c r="F57" i="20"/>
  <c r="O32" i="17"/>
  <c r="F31" i="20"/>
  <c r="H31" i="20" s="1"/>
  <c r="O51" i="17"/>
  <c r="F50" i="20"/>
  <c r="H50" i="20" s="1"/>
  <c r="O23" i="17"/>
  <c r="F22" i="20"/>
  <c r="H22" i="20" s="1"/>
  <c r="F45" i="20"/>
  <c r="H45" i="20" s="1"/>
  <c r="O34" i="17"/>
  <c r="F33" i="20"/>
  <c r="H33" i="20" s="1"/>
  <c r="F52" i="20"/>
  <c r="H52" i="20" s="1"/>
  <c r="J25" i="20"/>
  <c r="Q25" i="20"/>
  <c r="S25" i="20" s="1"/>
  <c r="J44" i="20"/>
  <c r="Q44" i="20"/>
  <c r="S44" i="20" s="1"/>
  <c r="Q35" i="20"/>
  <c r="S35" i="20" s="1"/>
  <c r="J35" i="20"/>
  <c r="O28" i="17"/>
  <c r="F27" i="20"/>
  <c r="H27" i="20" s="1"/>
  <c r="O30" i="17"/>
  <c r="F29" i="20"/>
  <c r="H29" i="20" s="1"/>
  <c r="O31" i="17"/>
  <c r="F30" i="20"/>
  <c r="H30" i="20" s="1"/>
  <c r="O59" i="17"/>
  <c r="F58" i="20"/>
  <c r="H58" i="20" s="1"/>
  <c r="O25" i="17"/>
  <c r="F24" i="20"/>
  <c r="H24" i="20" s="1"/>
  <c r="Q26" i="20"/>
  <c r="S26" i="20" s="1"/>
  <c r="J26" i="20"/>
  <c r="R54" i="17" l="1"/>
  <c r="R26" i="17"/>
  <c r="R27" i="17"/>
  <c r="R45" i="17"/>
  <c r="R36" i="17"/>
  <c r="R55" i="17"/>
  <c r="R58" i="17"/>
  <c r="H59" i="20"/>
  <c r="Q59" i="20" s="1"/>
  <c r="S59" i="20" s="1"/>
  <c r="H54" i="20"/>
  <c r="Q54" i="20" s="1"/>
  <c r="S54" i="20" s="1"/>
  <c r="H57" i="20"/>
  <c r="Q57" i="20" s="1"/>
  <c r="S57" i="20" s="1"/>
  <c r="J30" i="20"/>
  <c r="Q30" i="20"/>
  <c r="S30" i="20" s="1"/>
  <c r="Q27" i="20"/>
  <c r="S27" i="20" s="1"/>
  <c r="J27" i="20"/>
  <c r="Q52" i="20"/>
  <c r="S52" i="20" s="1"/>
  <c r="J52" i="20"/>
  <c r="J33" i="20"/>
  <c r="Q33" i="20"/>
  <c r="S33" i="20" s="1"/>
  <c r="Q31" i="20"/>
  <c r="S31" i="20" s="1"/>
  <c r="J31" i="20"/>
  <c r="J56" i="20"/>
  <c r="Q56" i="20"/>
  <c r="S56" i="20" s="1"/>
  <c r="J24" i="20"/>
  <c r="Q24" i="20"/>
  <c r="S24" i="20" s="1"/>
  <c r="Q58" i="20"/>
  <c r="S58" i="20" s="1"/>
  <c r="J58" i="20"/>
  <c r="J45" i="20"/>
  <c r="Q45" i="20"/>
  <c r="S45" i="20" s="1"/>
  <c r="O43" i="17"/>
  <c r="F42" i="20"/>
  <c r="H42" i="20" s="1"/>
  <c r="J50" i="20"/>
  <c r="Q50" i="20"/>
  <c r="S50" i="20" s="1"/>
  <c r="Q38" i="20"/>
  <c r="S38" i="20" s="1"/>
  <c r="J38" i="20"/>
  <c r="Q55" i="20"/>
  <c r="S55" i="20" s="1"/>
  <c r="J55" i="20"/>
  <c r="H53" i="20"/>
  <c r="Q51" i="20"/>
  <c r="S51" i="20" s="1"/>
  <c r="J51" i="20"/>
  <c r="Q41" i="20"/>
  <c r="S41" i="20" s="1"/>
  <c r="J41" i="20"/>
  <c r="J49" i="20"/>
  <c r="Q49" i="20"/>
  <c r="S49" i="20" s="1"/>
  <c r="Q36" i="20"/>
  <c r="S36" i="20" s="1"/>
  <c r="J36" i="20"/>
  <c r="F21" i="20"/>
  <c r="Q29" i="20"/>
  <c r="S29" i="20" s="1"/>
  <c r="J29" i="20"/>
  <c r="J22" i="20"/>
  <c r="Q22" i="20"/>
  <c r="S22" i="20" s="1"/>
  <c r="Q39" i="20"/>
  <c r="S39" i="20" s="1"/>
  <c r="J39" i="20"/>
  <c r="J37" i="20"/>
  <c r="Q37" i="20"/>
  <c r="S37" i="20" s="1"/>
  <c r="J43" i="20"/>
  <c r="Q43" i="20"/>
  <c r="S43" i="20" s="1"/>
  <c r="Q32" i="20"/>
  <c r="S32" i="20" s="1"/>
  <c r="J32" i="20"/>
  <c r="Q48" i="20"/>
  <c r="S48" i="20" s="1"/>
  <c r="J48" i="20"/>
  <c r="Q47" i="20"/>
  <c r="S47" i="20" s="1"/>
  <c r="J47" i="20"/>
  <c r="G1" i="17"/>
  <c r="R50" i="17" l="1"/>
  <c r="R44" i="17"/>
  <c r="R56" i="17"/>
  <c r="R23" i="17"/>
  <c r="R46" i="17"/>
  <c r="R59" i="17"/>
  <c r="R40" i="17"/>
  <c r="R51" i="17"/>
  <c r="R48" i="17"/>
  <c r="R33" i="17"/>
  <c r="R30" i="17"/>
  <c r="R42" i="17"/>
  <c r="R57" i="17"/>
  <c r="R53" i="17"/>
  <c r="R25" i="17"/>
  <c r="R52" i="17"/>
  <c r="R38" i="17"/>
  <c r="R31" i="17"/>
  <c r="R49" i="17"/>
  <c r="R32" i="17"/>
  <c r="R37" i="17"/>
  <c r="R39" i="17"/>
  <c r="R34" i="17"/>
  <c r="R28" i="17"/>
  <c r="O22" i="17"/>
  <c r="J57" i="20"/>
  <c r="J54" i="20"/>
  <c r="J59" i="20"/>
  <c r="K34" i="20"/>
  <c r="K23" i="20"/>
  <c r="K28" i="20"/>
  <c r="H21" i="20"/>
  <c r="F62" i="20"/>
  <c r="F18" i="20"/>
  <c r="J42" i="20"/>
  <c r="K40" i="20" s="1"/>
  <c r="Q42" i="20"/>
  <c r="S42" i="20" s="1"/>
  <c r="K45" i="20"/>
  <c r="J53" i="20"/>
  <c r="Q53" i="20"/>
  <c r="S53" i="20" s="1"/>
  <c r="R22" i="17" l="1"/>
  <c r="R43" i="17"/>
  <c r="K52" i="20"/>
  <c r="J21" i="20"/>
  <c r="Q21" i="20"/>
  <c r="S21" i="20" s="1"/>
  <c r="H18" i="20"/>
  <c r="H62" i="20"/>
  <c r="J18" i="20" l="1"/>
  <c r="Q18" i="20"/>
  <c r="S18" i="20" s="1"/>
  <c r="J62" i="20"/>
  <c r="K19" i="20"/>
  <c r="H1" i="17" l="1"/>
  <c r="J64" i="17" l="1"/>
  <c r="J65" i="17" l="1"/>
  <c r="J62" i="17" l="1"/>
  <c r="O62" i="17" s="1"/>
</calcChain>
</file>

<file path=xl/comments1.xml><?xml version="1.0" encoding="utf-8"?>
<comments xmlns="http://schemas.openxmlformats.org/spreadsheetml/2006/main">
  <authors>
    <author>Ing. Dagmar Kopecká</author>
  </authors>
  <commentList>
    <comment ref="K74" authorId="0" shapeId="0">
      <text>
        <r>
          <rPr>
            <b/>
            <sz val="9"/>
            <color indexed="81"/>
            <rFont val="Tahoma"/>
            <family val="2"/>
            <charset val="238"/>
          </rPr>
          <t>Ing. Dagmar Kopecká:</t>
        </r>
        <r>
          <rPr>
            <sz val="9"/>
            <color indexed="81"/>
            <rFont val="Tahoma"/>
            <family val="2"/>
            <charset val="238"/>
          </rPr>
          <t xml:space="preserve">
v tom převod 3mil. na LF za KOCH, bylo v rozpočtu, je OK ??
</t>
        </r>
      </text>
    </comment>
  </commentList>
</comments>
</file>

<file path=xl/sharedStrings.xml><?xml version="1.0" encoding="utf-8"?>
<sst xmlns="http://schemas.openxmlformats.org/spreadsheetml/2006/main" count="445" uniqueCount="221">
  <si>
    <t>KAG</t>
  </si>
  <si>
    <t>M</t>
  </si>
  <si>
    <t>F</t>
  </si>
  <si>
    <t>KEF</t>
  </si>
  <si>
    <t>SLO</t>
  </si>
  <si>
    <t>KBF</t>
  </si>
  <si>
    <t>B</t>
  </si>
  <si>
    <t>LRR</t>
  </si>
  <si>
    <t>KGI</t>
  </si>
  <si>
    <t>suma</t>
  </si>
  <si>
    <t>CRH-řídící úsek</t>
  </si>
  <si>
    <t>CRH</t>
  </si>
  <si>
    <t>CRH-biofyziky</t>
  </si>
  <si>
    <t>CRH-mol.biol.</t>
  </si>
  <si>
    <t>CRH-buněč.biol.</t>
  </si>
  <si>
    <t>RCPTM-vedení</t>
  </si>
  <si>
    <t>RCPTM-oxidy</t>
  </si>
  <si>
    <t>RCPTM-uhlík</t>
  </si>
  <si>
    <t>RCPTM-komplexy</t>
  </si>
  <si>
    <t>RCPTM-optika</t>
  </si>
  <si>
    <t>RCPTM-kovy</t>
  </si>
  <si>
    <t>RCPTM-analýzy</t>
  </si>
  <si>
    <t>RVO</t>
  </si>
  <si>
    <t>RCPTM</t>
  </si>
  <si>
    <t>Pevnost poznání</t>
  </si>
  <si>
    <t>CRH-chem. biologie a genetika</t>
  </si>
  <si>
    <t>CenBiol</t>
  </si>
  <si>
    <t>FRIM</t>
  </si>
  <si>
    <t>FPP</t>
  </si>
  <si>
    <t>KMA</t>
  </si>
  <si>
    <t>OPT</t>
  </si>
  <si>
    <t>AFC</t>
  </si>
  <si>
    <t>KFC</t>
  </si>
  <si>
    <t>ACH</t>
  </si>
  <si>
    <t>OCH</t>
  </si>
  <si>
    <t>KBC</t>
  </si>
  <si>
    <t>BOT</t>
  </si>
  <si>
    <t>ZOO</t>
  </si>
  <si>
    <t>EKO</t>
  </si>
  <si>
    <t>KBB</t>
  </si>
  <si>
    <t>KGG</t>
  </si>
  <si>
    <t>KGE</t>
  </si>
  <si>
    <t>MRS</t>
  </si>
  <si>
    <t>VCJ</t>
  </si>
  <si>
    <t>CPP</t>
  </si>
  <si>
    <t>zůstatek 2013</t>
  </si>
  <si>
    <t>výuka</t>
  </si>
  <si>
    <t>alokace 2013</t>
  </si>
  <si>
    <t>z toho FRIM</t>
  </si>
  <si>
    <t>/30</t>
  </si>
  <si>
    <t>/11</t>
  </si>
  <si>
    <t>-</t>
  </si>
  <si>
    <t>režie projektů</t>
  </si>
  <si>
    <t>VoZ</t>
  </si>
  <si>
    <t>Ch</t>
  </si>
  <si>
    <t>odhad</t>
  </si>
  <si>
    <t>přijem 2013</t>
  </si>
  <si>
    <t>přijem 2014</t>
  </si>
  <si>
    <t>rozdíl 2014-2013</t>
  </si>
  <si>
    <t>zůstatek 2012</t>
  </si>
  <si>
    <t xml:space="preserve">RVO 2012 k rozdělení </t>
  </si>
  <si>
    <t>provoz 2013</t>
  </si>
  <si>
    <t>Pracoviště</t>
  </si>
  <si>
    <t>Celkem</t>
  </si>
  <si>
    <t>SAP</t>
  </si>
  <si>
    <t xml:space="preserve">rozdíl provoz </t>
  </si>
  <si>
    <t>2014-2013</t>
  </si>
  <si>
    <t>změna %</t>
  </si>
  <si>
    <t>Děkanát celkem</t>
  </si>
  <si>
    <t>zatím avizované požadavky</t>
  </si>
  <si>
    <t>odhad včetně podílu režií</t>
  </si>
  <si>
    <t>Příloha č. 1</t>
  </si>
  <si>
    <t>anorganická chemie</t>
  </si>
  <si>
    <t>biochemie</t>
  </si>
  <si>
    <t>fyzikální chemie</t>
  </si>
  <si>
    <t>laboratoř růstových regulátorů</t>
  </si>
  <si>
    <t>mezinárodní rozvojová studia</t>
  </si>
  <si>
    <t>organická chemie</t>
  </si>
  <si>
    <t>společná laboratoř optiky</t>
  </si>
  <si>
    <t>KI</t>
  </si>
  <si>
    <t xml:space="preserve">rozdíl alokace </t>
  </si>
  <si>
    <t>obor/centrum</t>
  </si>
  <si>
    <t>CRH-bio.proteinů</t>
  </si>
  <si>
    <t>zatím doručené požadavky, konečný termín 20.9.2014</t>
  </si>
  <si>
    <t>RVO (/30)</t>
  </si>
  <si>
    <t>výuka (/11)</t>
  </si>
  <si>
    <t>Děkanát (z /11 a /30)</t>
  </si>
  <si>
    <t>Rektorát (z /11)</t>
  </si>
  <si>
    <t>Příjem PřF UP</t>
  </si>
  <si>
    <t>bude pokryto ze správní režie a doplňkové činnosti</t>
  </si>
  <si>
    <t>z FPP</t>
  </si>
  <si>
    <t>včetně vyrovnání pracovišť a děkanátu z 2013, bez investiční prostředků 2014</t>
  </si>
  <si>
    <t>příspěvek 2014</t>
  </si>
  <si>
    <t>A+K (/11)</t>
  </si>
  <si>
    <t>záporné zůstatky pracovišť z 2013 odečteny od příspěvku z /11 pro 2014; provedeny přesuny po dohodně vedoucích pracovišť</t>
  </si>
  <si>
    <t>Dělení finančních prostředků PřF UP pro rok 2014, v tis. Kč</t>
  </si>
  <si>
    <t xml:space="preserve">plán investic </t>
  </si>
  <si>
    <t>"daň 2013"</t>
  </si>
  <si>
    <t>rozdíl</t>
  </si>
  <si>
    <t>"daň 2014"</t>
  </si>
  <si>
    <t>vč. KBC, LRR, KBF</t>
  </si>
  <si>
    <t>vč. AFC, KEF, SLO, KFC, ACH</t>
  </si>
  <si>
    <t>Celkem rozděleno na pracoviště PřF UP</t>
  </si>
  <si>
    <t xml:space="preserve">Rektorát </t>
  </si>
  <si>
    <t>Celkem odvody</t>
  </si>
  <si>
    <t>A a K (/11)</t>
  </si>
  <si>
    <t>A+K 2015, analogie roku 2014, děleno 244 000</t>
  </si>
  <si>
    <t>rozdíl oproti 2014 (2015-2014)</t>
  </si>
  <si>
    <t>A+K 2015, krácení na max 3 mediány, děleno 244 000</t>
  </si>
  <si>
    <t>A+K 2015, krácení na max 4 mediány, děleno 244 000</t>
  </si>
  <si>
    <t>A+K 2015, krácení na max 5 mediánů, děleno 244 000</t>
  </si>
  <si>
    <t>katedra matematické analýzy a apikací matematiky</t>
  </si>
  <si>
    <t>katedra algebry a geometrie</t>
  </si>
  <si>
    <t>katedra informatiky</t>
  </si>
  <si>
    <t>katedra experimentální fyziky</t>
  </si>
  <si>
    <t>katedra optiky</t>
  </si>
  <si>
    <t>katedra biofyziky</t>
  </si>
  <si>
    <t>analytické chemie</t>
  </si>
  <si>
    <t>katedra botaniky</t>
  </si>
  <si>
    <t>katedra zoologie</t>
  </si>
  <si>
    <t>katedra ekologie a životního prostředí</t>
  </si>
  <si>
    <t>katedra buněčné biologie a genetiky</t>
  </si>
  <si>
    <t>katedra geografie</t>
  </si>
  <si>
    <t>katedra geologie</t>
  </si>
  <si>
    <t>katedra geoinformatiky</t>
  </si>
  <si>
    <t>Příloha č. 3</t>
  </si>
  <si>
    <t>Nárůst na pracoviště oproti 2014</t>
  </si>
  <si>
    <t>CRH-centrální laboratoře</t>
  </si>
  <si>
    <t>Pokuty a penále</t>
  </si>
  <si>
    <t>Celkem pracoviště PřF UP</t>
  </si>
  <si>
    <t>Solidární fond</t>
  </si>
  <si>
    <t>rozdíl /11</t>
  </si>
  <si>
    <t>celkem</t>
  </si>
  <si>
    <t>rozdíl /30</t>
  </si>
  <si>
    <t xml:space="preserve">rozdíl celkem </t>
  </si>
  <si>
    <t xml:space="preserve">Děkanát </t>
  </si>
  <si>
    <t>body</t>
  </si>
  <si>
    <t>Internacionalizace (10% K)</t>
  </si>
  <si>
    <t>Centrum popularizace</t>
  </si>
  <si>
    <t>cena bodu (99.5%)</t>
  </si>
  <si>
    <t>příspěvek bez kompenzace (po odvodech)</t>
  </si>
  <si>
    <t>nárůst</t>
  </si>
  <si>
    <t>podíl RVO k navýšení</t>
  </si>
  <si>
    <t>navýšení 2015</t>
  </si>
  <si>
    <t>navýšení 2016</t>
  </si>
  <si>
    <t>RCPTM-biomed</t>
  </si>
  <si>
    <t>RCPTM-environmental</t>
  </si>
  <si>
    <t>RCPTM-magnetic</t>
  </si>
  <si>
    <t>CRH-biofyzika</t>
  </si>
  <si>
    <t>CRH-biochemie proteinů</t>
  </si>
  <si>
    <t>CRH-molekulární biologie</t>
  </si>
  <si>
    <t>CRH-buněčná biologie</t>
  </si>
  <si>
    <t>Dělení finančních prostředků PřF UP pro rok 2017, v tis. Kč</t>
  </si>
  <si>
    <t>Celkem příspěvek 2017</t>
  </si>
  <si>
    <t>Příjem 2017</t>
  </si>
  <si>
    <t>FPP 2017</t>
  </si>
  <si>
    <r>
      <t>Provoz vyrovnání z roku 2016</t>
    </r>
    <r>
      <rPr>
        <sz val="11"/>
        <color rgb="FFFF0000"/>
        <rFont val="Calibri"/>
        <family val="2"/>
        <charset val="238"/>
        <scheme val="minor"/>
      </rPr>
      <t>*</t>
    </r>
  </si>
  <si>
    <t>Příspěvek 2017 po odvodech a přesunech</t>
  </si>
  <si>
    <t>Porovnání 2017 vs. 2016</t>
  </si>
  <si>
    <t>Knihovna (Science, provoz); Bilík</t>
  </si>
  <si>
    <t>*bude odečteno od příspěvku na rok 2017</t>
  </si>
  <si>
    <t xml:space="preserve">cena bodu </t>
  </si>
  <si>
    <t>Knihovna (Science, provoz, popularizace RUP)</t>
  </si>
  <si>
    <t>body /30</t>
  </si>
  <si>
    <t>RCPTM-elektrochemie</t>
  </si>
  <si>
    <t>odvody na LF a FZV</t>
  </si>
  <si>
    <t>KOCH použije 6 000 tis. Kč na dofinancování projektů na LF</t>
  </si>
  <si>
    <t>čerpání k 31.8.</t>
  </si>
  <si>
    <t>zbývá</t>
  </si>
  <si>
    <t>3137+3177</t>
  </si>
  <si>
    <t>CRH-řídící úsek+energie</t>
  </si>
  <si>
    <t>3720+3277</t>
  </si>
  <si>
    <t>RCPTM-vedení+energie</t>
  </si>
  <si>
    <t>EO</t>
  </si>
  <si>
    <t>PAM</t>
  </si>
  <si>
    <t>VAV</t>
  </si>
  <si>
    <t>grant.popdpora</t>
  </si>
  <si>
    <t>péče o zam.</t>
  </si>
  <si>
    <t>studijní</t>
  </si>
  <si>
    <t>technická podpora</t>
  </si>
  <si>
    <t>zbývá celkem</t>
  </si>
  <si>
    <t>%</t>
  </si>
  <si>
    <t>děkanát</t>
  </si>
  <si>
    <t>CELKEM</t>
  </si>
  <si>
    <t>čerpání celkem</t>
  </si>
  <si>
    <t/>
  </si>
  <si>
    <t>Převody na LF</t>
  </si>
  <si>
    <t>Převody na FZV</t>
  </si>
  <si>
    <t xml:space="preserve">převody </t>
  </si>
  <si>
    <t>převody</t>
  </si>
  <si>
    <t>SB Envelopa</t>
  </si>
  <si>
    <t>SB Holice</t>
  </si>
  <si>
    <t>SB provozní úsek</t>
  </si>
  <si>
    <t>Botanická zahrada</t>
  </si>
  <si>
    <t>Kabinet pedagogické přípravy</t>
  </si>
  <si>
    <t>Kabinet cizích jazyků</t>
  </si>
  <si>
    <t>Režie</t>
  </si>
  <si>
    <t>Rozpočet</t>
  </si>
  <si>
    <t>Rezerva děkana</t>
  </si>
  <si>
    <t>rezerva děkana</t>
  </si>
  <si>
    <t>rezerva prod.</t>
  </si>
  <si>
    <t>SC RVŠ</t>
  </si>
  <si>
    <t>Cena děkana</t>
  </si>
  <si>
    <t>Internacionalizace</t>
  </si>
  <si>
    <t>Dofinancování projektů</t>
  </si>
  <si>
    <t>Podpora mobility</t>
  </si>
  <si>
    <t>Datové centrum</t>
  </si>
  <si>
    <t>Knihovna</t>
  </si>
  <si>
    <t>Juniorské granty</t>
  </si>
  <si>
    <t>Příloha č. 1 - Přehled čerpání zdroj 11, 30 / 31. 8. 2020 (tis. Kč)</t>
  </si>
  <si>
    <t>Příjem 2020</t>
  </si>
  <si>
    <t>Příspěvek 2020 po odvodech a přesunech</t>
  </si>
  <si>
    <t>Celkem příspěvek 2020</t>
  </si>
  <si>
    <t>P (11)</t>
  </si>
  <si>
    <t>Etická komise PřF</t>
  </si>
  <si>
    <t>Reko 47 - NIV</t>
  </si>
  <si>
    <t>Reko 47 - prodl. mzdy</t>
  </si>
  <si>
    <t>Reko 47</t>
  </si>
  <si>
    <t>Podpora internacionalizace - RUP</t>
  </si>
  <si>
    <t>Internacionalizace - PřF</t>
  </si>
  <si>
    <t>SPP Letní škola, Badatel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</si>
</sst>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K_č_-;\-* #,##0.00\ _K_č_-;_-* &quot;-&quot;??\ _K_č_-;_-@_-"/>
    <numFmt numFmtId="165" formatCode="_-* #,##0.00\ _K_č_-;\-* #,##0.00\ _K_č_-;_-* \-??\ _K_č_-;_-@_-"/>
    <numFmt numFmtId="166" formatCode="_-* #,##0.00&quot; Kč&quot;_-;\-* #,##0.00&quot; Kč&quot;_-;_-* \-??&quot; Kč&quot;_-;_-@_-"/>
    <numFmt numFmtId="167" formatCode="0.0%"/>
    <numFmt numFmtId="168" formatCode="#,##0_ ;\-#,##0\ "/>
    <numFmt numFmtId="169" formatCode="#,##0.00000"/>
    <numFmt numFmtId="170" formatCode="#,##0.0000"/>
  </numFmts>
  <fonts count="5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theme="0" tint="-0.249977111117893"/>
      <name val="Calibri"/>
      <family val="2"/>
      <charset val="238"/>
      <scheme val="minor"/>
    </font>
    <font>
      <i/>
      <sz val="8"/>
      <color theme="0" tint="-0.1499984740745262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4"/>
      <color theme="0" tint="-0.49998474074526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CE6F1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8BF32D"/>
        <bgColor indexed="64"/>
      </patternFill>
    </fill>
    <fill>
      <patternFill patternType="solid">
        <fgColor rgb="FFFF000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4">
    <xf numFmtId="0" fontId="0" fillId="0" borderId="0"/>
    <xf numFmtId="0" fontId="2" fillId="0" borderId="0"/>
    <xf numFmtId="165" fontId="2" fillId="0" borderId="0" applyFill="0" applyBorder="0" applyAlignment="0" applyProtection="0"/>
    <xf numFmtId="0" fontId="9" fillId="4" borderId="0" applyNumberFormat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/>
    <xf numFmtId="0" fontId="10" fillId="0" borderId="0"/>
    <xf numFmtId="9" fontId="2" fillId="0" borderId="0" applyFill="0" applyBorder="0" applyAlignment="0" applyProtection="0"/>
    <xf numFmtId="0" fontId="12" fillId="0" borderId="0"/>
    <xf numFmtId="0" fontId="13" fillId="0" borderId="0"/>
    <xf numFmtId="0" fontId="23" fillId="0" borderId="0" applyNumberFormat="0" applyFill="0" applyBorder="0" applyAlignment="0" applyProtection="0"/>
    <xf numFmtId="0" fontId="24" fillId="0" borderId="56" applyNumberFormat="0" applyFill="0" applyAlignment="0" applyProtection="0"/>
    <xf numFmtId="0" fontId="25" fillId="0" borderId="57" applyNumberFormat="0" applyFill="0" applyAlignment="0" applyProtection="0"/>
    <xf numFmtId="0" fontId="26" fillId="0" borderId="58" applyNumberFormat="0" applyFill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59" applyNumberFormat="0" applyAlignment="0" applyProtection="0"/>
    <xf numFmtId="0" fontId="31" fillId="13" borderId="60" applyNumberFormat="0" applyAlignment="0" applyProtection="0"/>
    <xf numFmtId="0" fontId="32" fillId="13" borderId="59" applyNumberFormat="0" applyAlignment="0" applyProtection="0"/>
    <xf numFmtId="0" fontId="33" fillId="0" borderId="61" applyNumberFormat="0" applyFill="0" applyAlignment="0" applyProtection="0"/>
    <xf numFmtId="0" fontId="18" fillId="14" borderId="62" applyNumberFormat="0" applyAlignment="0" applyProtection="0"/>
    <xf numFmtId="0" fontId="6" fillId="0" borderId="0" applyNumberFormat="0" applyFill="0" applyBorder="0" applyAlignment="0" applyProtection="0"/>
    <xf numFmtId="0" fontId="22" fillId="15" borderId="63" applyNumberFormat="0" applyFont="0" applyAlignment="0" applyProtection="0"/>
    <xf numFmtId="0" fontId="34" fillId="0" borderId="0" applyNumberFormat="0" applyFill="0" applyBorder="0" applyAlignment="0" applyProtection="0"/>
    <xf numFmtId="0" fontId="1" fillId="0" borderId="64" applyNumberFormat="0" applyFill="0" applyAlignment="0" applyProtection="0"/>
    <xf numFmtId="0" fontId="19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19" fillId="39" borderId="0" applyNumberFormat="0" applyBorder="0" applyAlignment="0" applyProtection="0"/>
    <xf numFmtId="0" fontId="35" fillId="0" borderId="0"/>
    <xf numFmtId="9" fontId="12" fillId="0" borderId="0" applyFont="0" applyFill="0" applyBorder="0" applyAlignment="0" applyProtection="0"/>
    <xf numFmtId="0" fontId="22" fillId="0" borderId="0"/>
    <xf numFmtId="9" fontId="5" fillId="0" borderId="37">
      <protection locked="0"/>
    </xf>
    <xf numFmtId="164" fontId="22" fillId="0" borderId="0" applyFont="0" applyFill="0" applyBorder="0" applyAlignment="0" applyProtection="0"/>
    <xf numFmtId="0" fontId="43" fillId="0" borderId="0"/>
    <xf numFmtId="0" fontId="22" fillId="0" borderId="0"/>
    <xf numFmtId="9" fontId="11" fillId="0" borderId="0" applyFont="0" applyFill="0" applyBorder="0" applyAlignment="0" applyProtection="0"/>
    <xf numFmtId="0" fontId="11" fillId="15" borderId="63" applyNumberFormat="0" applyFont="0" applyAlignment="0" applyProtection="0"/>
    <xf numFmtId="0" fontId="12" fillId="0" borderId="0"/>
    <xf numFmtId="0" fontId="12" fillId="0" borderId="0"/>
    <xf numFmtId="0" fontId="12" fillId="0" borderId="0"/>
    <xf numFmtId="9" fontId="22" fillId="0" borderId="0" applyFont="0" applyFill="0" applyBorder="0" applyAlignment="0" applyProtection="0"/>
    <xf numFmtId="0" fontId="50" fillId="0" borderId="0"/>
    <xf numFmtId="0" fontId="2" fillId="0" borderId="0"/>
    <xf numFmtId="0" fontId="22" fillId="0" borderId="0"/>
  </cellStyleXfs>
  <cellXfs count="892">
    <xf numFmtId="0" fontId="0" fillId="0" borderId="0" xfId="0"/>
    <xf numFmtId="3" fontId="0" fillId="0" borderId="0" xfId="0" applyNumberFormat="1"/>
    <xf numFmtId="0" fontId="0" fillId="0" borderId="3" xfId="0" applyBorder="1"/>
    <xf numFmtId="0" fontId="1" fillId="0" borderId="0" xfId="0" applyFont="1"/>
    <xf numFmtId="3" fontId="0" fillId="0" borderId="9" xfId="0" applyNumberFormat="1" applyBorder="1"/>
    <xf numFmtId="0" fontId="0" fillId="0" borderId="0" xfId="0" applyFill="1" applyBorder="1"/>
    <xf numFmtId="3" fontId="0" fillId="0" borderId="0" xfId="0" applyNumberFormat="1" applyBorder="1"/>
    <xf numFmtId="0" fontId="0" fillId="0" borderId="0" xfId="0" applyFill="1"/>
    <xf numFmtId="3" fontId="0" fillId="0" borderId="0" xfId="0" applyNumberFormat="1" applyFill="1"/>
    <xf numFmtId="3" fontId="0" fillId="0" borderId="0" xfId="0" applyNumberFormat="1" applyFill="1" applyBorder="1"/>
    <xf numFmtId="3" fontId="0" fillId="0" borderId="3" xfId="0" applyNumberFormat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3" fontId="0" fillId="0" borderId="33" xfId="0" applyNumberFormat="1" applyBorder="1"/>
    <xf numFmtId="3" fontId="0" fillId="0" borderId="33" xfId="0" applyNumberFormat="1" applyFill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3" fillId="0" borderId="33" xfId="1" applyFont="1" applyFill="1" applyBorder="1" applyAlignment="1">
      <alignment horizontal="center"/>
    </xf>
    <xf numFmtId="10" fontId="0" fillId="0" borderId="43" xfId="0" applyNumberFormat="1" applyBorder="1"/>
    <xf numFmtId="0" fontId="0" fillId="0" borderId="5" xfId="0" applyBorder="1"/>
    <xf numFmtId="0" fontId="3" fillId="0" borderId="47" xfId="1" applyFont="1" applyBorder="1" applyAlignment="1">
      <alignment horizontal="center"/>
    </xf>
    <xf numFmtId="0" fontId="0" fillId="3" borderId="1" xfId="0" applyFill="1" applyBorder="1"/>
    <xf numFmtId="0" fontId="3" fillId="3" borderId="32" xfId="1" applyFont="1" applyFill="1" applyBorder="1" applyAlignment="1">
      <alignment horizontal="center"/>
    </xf>
    <xf numFmtId="3" fontId="0" fillId="3" borderId="2" xfId="0" applyNumberFormat="1" applyFill="1" applyBorder="1"/>
    <xf numFmtId="3" fontId="0" fillId="3" borderId="32" xfId="0" applyNumberFormat="1" applyFill="1" applyBorder="1"/>
    <xf numFmtId="3" fontId="0" fillId="3" borderId="10" xfId="0" applyNumberFormat="1" applyFill="1" applyBorder="1"/>
    <xf numFmtId="3" fontId="0" fillId="0" borderId="33" xfId="0" applyNumberFormat="1" applyFill="1" applyBorder="1"/>
    <xf numFmtId="3" fontId="0" fillId="0" borderId="50" xfId="0" applyNumberFormat="1" applyBorder="1" applyAlignment="1">
      <alignment horizontal="center"/>
    </xf>
    <xf numFmtId="3" fontId="1" fillId="0" borderId="15" xfId="0" applyNumberFormat="1" applyFont="1" applyFill="1" applyBorder="1"/>
    <xf numFmtId="0" fontId="0" fillId="7" borderId="3" xfId="0" applyFill="1" applyBorder="1"/>
    <xf numFmtId="3" fontId="19" fillId="0" borderId="0" xfId="0" applyNumberFormat="1" applyFont="1" applyFill="1" applyBorder="1"/>
    <xf numFmtId="0" fontId="0" fillId="0" borderId="0" xfId="0"/>
    <xf numFmtId="0" fontId="0" fillId="0" borderId="21" xfId="0" applyBorder="1"/>
    <xf numFmtId="0" fontId="0" fillId="0" borderId="23" xfId="0" applyBorder="1"/>
    <xf numFmtId="3" fontId="0" fillId="0" borderId="43" xfId="0" applyNumberFormat="1" applyFill="1" applyBorder="1"/>
    <xf numFmtId="3" fontId="0" fillId="0" borderId="44" xfId="0" applyNumberFormat="1" applyFill="1" applyBorder="1"/>
    <xf numFmtId="3" fontId="0" fillId="6" borderId="8" xfId="0" applyNumberFormat="1" applyFill="1" applyBorder="1"/>
    <xf numFmtId="3" fontId="19" fillId="0" borderId="25" xfId="0" applyNumberFormat="1" applyFont="1" applyFill="1" applyBorder="1"/>
    <xf numFmtId="0" fontId="0" fillId="0" borderId="3" xfId="0" applyFill="1" applyBorder="1"/>
    <xf numFmtId="3" fontId="0" fillId="0" borderId="51" xfId="0" applyNumberFormat="1" applyFill="1" applyBorder="1" applyAlignment="1">
      <alignment horizontal="center"/>
    </xf>
    <xf numFmtId="3" fontId="0" fillId="0" borderId="52" xfId="0" applyNumberFormat="1" applyFill="1" applyBorder="1"/>
    <xf numFmtId="3" fontId="1" fillId="0" borderId="43" xfId="0" applyNumberFormat="1" applyFont="1" applyBorder="1"/>
    <xf numFmtId="3" fontId="0" fillId="7" borderId="18" xfId="0" applyNumberFormat="1" applyFill="1" applyBorder="1" applyAlignment="1">
      <alignment horizontal="center"/>
    </xf>
    <xf numFmtId="3" fontId="1" fillId="7" borderId="15" xfId="0" applyNumberFormat="1" applyFont="1" applyFill="1" applyBorder="1"/>
    <xf numFmtId="0" fontId="1" fillId="8" borderId="24" xfId="0" applyFont="1" applyFill="1" applyBorder="1"/>
    <xf numFmtId="3" fontId="0" fillId="0" borderId="26" xfId="0" applyNumberFormat="1" applyFill="1" applyBorder="1" applyAlignment="1">
      <alignment horizontal="right"/>
    </xf>
    <xf numFmtId="3" fontId="0" fillId="0" borderId="42" xfId="0" applyNumberFormat="1" applyFont="1" applyFill="1" applyBorder="1" applyAlignment="1">
      <alignment horizontal="center"/>
    </xf>
    <xf numFmtId="3" fontId="0" fillId="7" borderId="26" xfId="0" applyNumberFormat="1" applyFill="1" applyBorder="1" applyAlignment="1">
      <alignment horizontal="center"/>
    </xf>
    <xf numFmtId="3" fontId="19" fillId="0" borderId="17" xfId="0" applyNumberFormat="1" applyFont="1" applyFill="1" applyBorder="1"/>
    <xf numFmtId="3" fontId="5" fillId="0" borderId="0" xfId="0" applyNumberFormat="1" applyFont="1"/>
    <xf numFmtId="10" fontId="0" fillId="7" borderId="19" xfId="0" applyNumberFormat="1" applyFill="1" applyBorder="1"/>
    <xf numFmtId="10" fontId="0" fillId="8" borderId="15" xfId="0" applyNumberFormat="1" applyFill="1" applyBorder="1"/>
    <xf numFmtId="0" fontId="1" fillId="0" borderId="16" xfId="0" applyFont="1" applyFill="1" applyBorder="1" applyAlignment="1">
      <alignment vertical="center"/>
    </xf>
    <xf numFmtId="0" fontId="19" fillId="0" borderId="0" xfId="0" applyFont="1"/>
    <xf numFmtId="3" fontId="19" fillId="0" borderId="0" xfId="0" applyNumberFormat="1" applyFont="1"/>
    <xf numFmtId="10" fontId="19" fillId="0" borderId="0" xfId="0" applyNumberFormat="1" applyFont="1"/>
    <xf numFmtId="3" fontId="0" fillId="0" borderId="15" xfId="0" applyNumberFormat="1" applyFont="1" applyFill="1" applyBorder="1" applyAlignment="1">
      <alignment horizontal="center"/>
    </xf>
    <xf numFmtId="3" fontId="1" fillId="8" borderId="15" xfId="0" applyNumberFormat="1" applyFont="1" applyFill="1" applyBorder="1"/>
    <xf numFmtId="10" fontId="5" fillId="8" borderId="23" xfId="0" applyNumberFormat="1" applyFont="1" applyFill="1" applyBorder="1"/>
    <xf numFmtId="3" fontId="0" fillId="6" borderId="44" xfId="0" applyNumberFormat="1" applyFill="1" applyBorder="1" applyAlignment="1">
      <alignment wrapText="1"/>
    </xf>
    <xf numFmtId="3" fontId="38" fillId="0" borderId="0" xfId="0" applyNumberFormat="1" applyFont="1" applyBorder="1" applyAlignment="1">
      <alignment horizontal="right"/>
    </xf>
    <xf numFmtId="0" fontId="5" fillId="0" borderId="0" xfId="0" applyFont="1"/>
    <xf numFmtId="0" fontId="0" fillId="0" borderId="0" xfId="0"/>
    <xf numFmtId="3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15"/>
    <xf numFmtId="0" fontId="4" fillId="0" borderId="0" xfId="15" applyFont="1"/>
    <xf numFmtId="0" fontId="1" fillId="0" borderId="0" xfId="15" applyFont="1"/>
    <xf numFmtId="0" fontId="12" fillId="0" borderId="0" xfId="15" applyFill="1"/>
    <xf numFmtId="0" fontId="12" fillId="0" borderId="18" xfId="15" applyBorder="1" applyAlignment="1">
      <alignment horizontal="center"/>
    </xf>
    <xf numFmtId="0" fontId="12" fillId="0" borderId="19" xfId="15" applyBorder="1" applyAlignment="1">
      <alignment horizontal="center"/>
    </xf>
    <xf numFmtId="0" fontId="12" fillId="0" borderId="15" xfId="15" applyFill="1" applyBorder="1" applyAlignment="1">
      <alignment horizontal="center"/>
    </xf>
    <xf numFmtId="0" fontId="1" fillId="0" borderId="17" xfId="15" applyFont="1" applyBorder="1" applyAlignment="1">
      <alignment horizontal="center"/>
    </xf>
    <xf numFmtId="0" fontId="12" fillId="0" borderId="17" xfId="15" applyBorder="1" applyAlignment="1">
      <alignment horizontal="center"/>
    </xf>
    <xf numFmtId="0" fontId="12" fillId="2" borderId="42" xfId="15" applyFill="1" applyBorder="1" applyAlignment="1">
      <alignment horizontal="center"/>
    </xf>
    <xf numFmtId="0" fontId="12" fillId="0" borderId="15" xfId="15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25" xfId="15" applyBorder="1"/>
    <xf numFmtId="0" fontId="12" fillId="0" borderId="17" xfId="15" applyBorder="1"/>
    <xf numFmtId="0" fontId="12" fillId="0" borderId="29" xfId="15" applyFill="1" applyBorder="1" applyAlignment="1">
      <alignment horizontal="center"/>
    </xf>
    <xf numFmtId="0" fontId="12" fillId="0" borderId="42" xfId="15" applyFill="1" applyBorder="1" applyAlignment="1">
      <alignment horizontal="center"/>
    </xf>
    <xf numFmtId="0" fontId="12" fillId="0" borderId="1" xfId="15" applyBorder="1" applyAlignment="1">
      <alignment horizontal="center"/>
    </xf>
    <xf numFmtId="0" fontId="12" fillId="0" borderId="39" xfId="15" applyBorder="1" applyAlignment="1">
      <alignment horizontal="center"/>
    </xf>
    <xf numFmtId="0" fontId="12" fillId="0" borderId="2" xfId="15" applyBorder="1" applyAlignment="1">
      <alignment horizontal="center"/>
    </xf>
    <xf numFmtId="3" fontId="12" fillId="0" borderId="42" xfId="15" applyNumberFormat="1" applyFont="1" applyFill="1" applyBorder="1" applyAlignment="1">
      <alignment horizontal="center"/>
    </xf>
    <xf numFmtId="3" fontId="12" fillId="0" borderId="10" xfId="15" applyNumberFormat="1" applyFont="1" applyFill="1" applyBorder="1" applyAlignment="1">
      <alignment horizontal="center"/>
    </xf>
    <xf numFmtId="0" fontId="12" fillId="0" borderId="14" xfId="15" applyFill="1" applyBorder="1" applyAlignment="1">
      <alignment horizontal="center"/>
    </xf>
    <xf numFmtId="0" fontId="12" fillId="0" borderId="11" xfId="15" applyFill="1" applyBorder="1" applyAlignment="1">
      <alignment horizontal="center"/>
    </xf>
    <xf numFmtId="0" fontId="12" fillId="0" borderId="11" xfId="15" applyBorder="1" applyAlignment="1">
      <alignment horizontal="center"/>
    </xf>
    <xf numFmtId="0" fontId="12" fillId="2" borderId="44" xfId="15" applyFill="1" applyBorder="1" applyAlignment="1">
      <alignment horizontal="center"/>
    </xf>
    <xf numFmtId="0" fontId="12" fillId="0" borderId="46" xfId="15" applyBorder="1" applyAlignment="1">
      <alignment horizontal="center"/>
    </xf>
    <xf numFmtId="3" fontId="12" fillId="0" borderId="49" xfId="15" applyNumberFormat="1" applyFont="1" applyFill="1" applyBorder="1" applyAlignment="1">
      <alignment horizontal="center"/>
    </xf>
    <xf numFmtId="0" fontId="12" fillId="0" borderId="7" xfId="15" applyFill="1" applyBorder="1" applyAlignment="1">
      <alignment horizontal="center"/>
    </xf>
    <xf numFmtId="0" fontId="12" fillId="0" borderId="30" xfId="15" applyBorder="1"/>
    <xf numFmtId="0" fontId="12" fillId="0" borderId="0" xfId="15" applyBorder="1"/>
    <xf numFmtId="0" fontId="12" fillId="0" borderId="10" xfId="15" applyBorder="1" applyAlignment="1">
      <alignment horizontal="center"/>
    </xf>
    <xf numFmtId="0" fontId="12" fillId="0" borderId="12" xfId="15" applyBorder="1" applyAlignment="1">
      <alignment horizontal="center"/>
    </xf>
    <xf numFmtId="0" fontId="12" fillId="0" borderId="9" xfId="15" applyBorder="1"/>
    <xf numFmtId="0" fontId="12" fillId="0" borderId="22" xfId="15" applyBorder="1" applyAlignment="1">
      <alignment horizontal="center"/>
    </xf>
    <xf numFmtId="9" fontId="12" fillId="0" borderId="13" xfId="15" applyNumberFormat="1" applyFill="1" applyBorder="1" applyAlignment="1">
      <alignment horizontal="center"/>
    </xf>
    <xf numFmtId="0" fontId="20" fillId="0" borderId="6" xfId="15" applyFont="1" applyBorder="1" applyAlignment="1">
      <alignment horizontal="center" wrapText="1"/>
    </xf>
    <xf numFmtId="0" fontId="12" fillId="0" borderId="8" xfId="15" applyBorder="1"/>
    <xf numFmtId="0" fontId="12" fillId="0" borderId="53" xfId="15" applyBorder="1" applyAlignment="1">
      <alignment horizontal="center"/>
    </xf>
    <xf numFmtId="0" fontId="12" fillId="0" borderId="6" xfId="15" applyFill="1" applyBorder="1" applyAlignment="1">
      <alignment horizontal="center"/>
    </xf>
    <xf numFmtId="0" fontId="12" fillId="0" borderId="24" xfId="15" applyBorder="1"/>
    <xf numFmtId="0" fontId="12" fillId="0" borderId="31" xfId="15" applyBorder="1"/>
    <xf numFmtId="0" fontId="12" fillId="0" borderId="23" xfId="15" applyBorder="1"/>
    <xf numFmtId="0" fontId="16" fillId="0" borderId="18" xfId="15" applyFont="1" applyBorder="1" applyAlignment="1">
      <alignment horizontal="center" wrapText="1"/>
    </xf>
    <xf numFmtId="3" fontId="19" fillId="0" borderId="17" xfId="15" applyNumberFormat="1" applyFont="1" applyFill="1" applyBorder="1"/>
    <xf numFmtId="3" fontId="19" fillId="0" borderId="25" xfId="15" applyNumberFormat="1" applyFont="1" applyFill="1" applyBorder="1"/>
    <xf numFmtId="3" fontId="12" fillId="6" borderId="44" xfId="15" applyNumberFormat="1" applyFill="1" applyBorder="1"/>
    <xf numFmtId="3" fontId="12" fillId="6" borderId="8" xfId="15" applyNumberFormat="1" applyFill="1" applyBorder="1"/>
    <xf numFmtId="9" fontId="12" fillId="0" borderId="17" xfId="15" applyNumberFormat="1" applyFill="1" applyBorder="1" applyAlignment="1">
      <alignment horizontal="center"/>
    </xf>
    <xf numFmtId="3" fontId="1" fillId="0" borderId="15" xfId="15" applyNumberFormat="1" applyFont="1" applyFill="1" applyBorder="1"/>
    <xf numFmtId="0" fontId="12" fillId="0" borderId="44" xfId="15" applyBorder="1"/>
    <xf numFmtId="0" fontId="12" fillId="0" borderId="31" xfId="15" applyBorder="1" applyAlignment="1">
      <alignment horizontal="center"/>
    </xf>
    <xf numFmtId="0" fontId="12" fillId="0" borderId="36" xfId="15" applyFill="1" applyBorder="1" applyAlignment="1">
      <alignment horizontal="center"/>
    </xf>
    <xf numFmtId="0" fontId="1" fillId="8" borderId="24" xfId="15" applyFont="1" applyFill="1" applyBorder="1"/>
    <xf numFmtId="0" fontId="3" fillId="8" borderId="31" xfId="60" applyFont="1" applyFill="1" applyBorder="1" applyAlignment="1">
      <alignment horizontal="center"/>
    </xf>
    <xf numFmtId="3" fontId="12" fillId="8" borderId="18" xfId="15" applyNumberFormat="1" applyFill="1" applyBorder="1" applyAlignment="1">
      <alignment horizontal="center"/>
    </xf>
    <xf numFmtId="3" fontId="12" fillId="8" borderId="19" xfId="15" applyNumberFormat="1" applyFill="1" applyBorder="1" applyAlignment="1">
      <alignment horizontal="center"/>
    </xf>
    <xf numFmtId="3" fontId="12" fillId="8" borderId="17" xfId="15" applyNumberFormat="1" applyFill="1" applyBorder="1" applyAlignment="1">
      <alignment horizontal="right"/>
    </xf>
    <xf numFmtId="3" fontId="12" fillId="8" borderId="26" xfId="15" applyNumberFormat="1" applyFill="1" applyBorder="1" applyAlignment="1">
      <alignment horizontal="center"/>
    </xf>
    <xf numFmtId="3" fontId="12" fillId="8" borderId="54" xfId="15" applyNumberFormat="1" applyFill="1" applyBorder="1" applyAlignment="1">
      <alignment horizontal="center"/>
    </xf>
    <xf numFmtId="167" fontId="12" fillId="8" borderId="23" xfId="15" applyNumberFormat="1" applyFill="1" applyBorder="1"/>
    <xf numFmtId="3" fontId="12" fillId="0" borderId="23" xfId="15" applyNumberFormat="1" applyFill="1" applyBorder="1"/>
    <xf numFmtId="3" fontId="1" fillId="8" borderId="44" xfId="15" applyNumberFormat="1" applyFont="1" applyFill="1" applyBorder="1"/>
    <xf numFmtId="3" fontId="6" fillId="0" borderId="23" xfId="15" applyNumberFormat="1" applyFont="1" applyBorder="1"/>
    <xf numFmtId="3" fontId="12" fillId="0" borderId="15" xfId="15" applyNumberFormat="1" applyBorder="1"/>
    <xf numFmtId="3" fontId="12" fillId="0" borderId="55" xfId="15" applyNumberFormat="1" applyFill="1" applyBorder="1"/>
    <xf numFmtId="3" fontId="12" fillId="0" borderId="18" xfId="15" applyNumberFormat="1" applyBorder="1" applyAlignment="1">
      <alignment horizontal="center"/>
    </xf>
    <xf numFmtId="3" fontId="12" fillId="0" borderId="19" xfId="15" applyNumberFormat="1" applyFill="1" applyBorder="1" applyAlignment="1">
      <alignment horizontal="center"/>
    </xf>
    <xf numFmtId="3" fontId="12" fillId="0" borderId="16" xfId="15" applyNumberFormat="1" applyBorder="1"/>
    <xf numFmtId="3" fontId="12" fillId="0" borderId="17" xfId="15" applyNumberFormat="1" applyBorder="1" applyAlignment="1"/>
    <xf numFmtId="3" fontId="12" fillId="0" borderId="17" xfId="15" applyNumberFormat="1" applyFill="1" applyBorder="1"/>
    <xf numFmtId="10" fontId="12" fillId="0" borderId="15" xfId="15" applyNumberFormat="1" applyBorder="1"/>
    <xf numFmtId="3" fontId="12" fillId="0" borderId="50" xfId="15" applyNumberFormat="1" applyBorder="1" applyAlignment="1">
      <alignment horizontal="center"/>
    </xf>
    <xf numFmtId="3" fontId="12" fillId="0" borderId="52" xfId="15" applyNumberFormat="1" applyBorder="1" applyAlignment="1">
      <alignment horizontal="center"/>
    </xf>
    <xf numFmtId="3" fontId="12" fillId="0" borderId="21" xfId="15" applyNumberFormat="1" applyFill="1" applyBorder="1" applyAlignment="1">
      <alignment horizontal="right"/>
    </xf>
    <xf numFmtId="3" fontId="12" fillId="0" borderId="51" xfId="15" applyNumberFormat="1" applyFill="1" applyBorder="1" applyAlignment="1">
      <alignment horizontal="center"/>
    </xf>
    <xf numFmtId="3" fontId="12" fillId="0" borderId="30" xfId="15" applyNumberFormat="1" applyBorder="1" applyAlignment="1">
      <alignment horizontal="center"/>
    </xf>
    <xf numFmtId="3" fontId="12" fillId="0" borderId="52" xfId="15" applyNumberFormat="1" applyFill="1" applyBorder="1"/>
    <xf numFmtId="3" fontId="12" fillId="0" borderId="21" xfId="15" applyNumberFormat="1" applyFill="1" applyBorder="1"/>
    <xf numFmtId="3" fontId="1" fillId="0" borderId="43" xfId="15" applyNumberFormat="1" applyFont="1" applyBorder="1"/>
    <xf numFmtId="3" fontId="12" fillId="0" borderId="11" xfId="15" applyNumberFormat="1" applyBorder="1"/>
    <xf numFmtId="3" fontId="12" fillId="0" borderId="43" xfId="15" applyNumberFormat="1" applyBorder="1"/>
    <xf numFmtId="3" fontId="12" fillId="0" borderId="30" xfId="15" applyNumberFormat="1" applyBorder="1"/>
    <xf numFmtId="3" fontId="12" fillId="0" borderId="52" xfId="15" applyNumberFormat="1" applyFill="1" applyBorder="1" applyAlignment="1">
      <alignment horizontal="center"/>
    </xf>
    <xf numFmtId="3" fontId="12" fillId="0" borderId="21" xfId="15" applyNumberFormat="1" applyBorder="1" applyAlignment="1"/>
    <xf numFmtId="0" fontId="12" fillId="0" borderId="43" xfId="15" applyBorder="1"/>
    <xf numFmtId="3" fontId="20" fillId="7" borderId="18" xfId="15" applyNumberFormat="1" applyFont="1" applyFill="1" applyBorder="1" applyAlignment="1">
      <alignment horizontal="center" vertical="center" wrapText="1"/>
    </xf>
    <xf numFmtId="3" fontId="12" fillId="7" borderId="19" xfId="15" applyNumberFormat="1" applyFill="1" applyBorder="1" applyAlignment="1">
      <alignment horizontal="center"/>
    </xf>
    <xf numFmtId="3" fontId="12" fillId="7" borderId="17" xfId="15" applyNumberFormat="1" applyFill="1" applyBorder="1" applyAlignment="1">
      <alignment horizontal="right"/>
    </xf>
    <xf numFmtId="3" fontId="12" fillId="7" borderId="18" xfId="15" applyNumberFormat="1" applyFill="1" applyBorder="1" applyAlignment="1">
      <alignment horizontal="center"/>
    </xf>
    <xf numFmtId="9" fontId="12" fillId="7" borderId="17" xfId="15" applyNumberFormat="1" applyFill="1" applyBorder="1" applyAlignment="1">
      <alignment horizontal="right"/>
    </xf>
    <xf numFmtId="167" fontId="12" fillId="7" borderId="19" xfId="15" applyNumberFormat="1" applyFill="1" applyBorder="1"/>
    <xf numFmtId="3" fontId="1" fillId="7" borderId="15" xfId="15" applyNumberFormat="1" applyFont="1" applyFill="1" applyBorder="1"/>
    <xf numFmtId="3" fontId="12" fillId="0" borderId="8" xfId="15" applyNumberFormat="1" applyFill="1" applyBorder="1"/>
    <xf numFmtId="3" fontId="12" fillId="0" borderId="5" xfId="15" applyNumberFormat="1" applyFill="1" applyBorder="1" applyAlignment="1">
      <alignment horizontal="center"/>
    </xf>
    <xf numFmtId="3" fontId="12" fillId="0" borderId="6" xfId="15" applyNumberFormat="1" applyFill="1" applyBorder="1" applyAlignment="1">
      <alignment horizontal="center"/>
    </xf>
    <xf numFmtId="0" fontId="12" fillId="0" borderId="53" xfId="15" applyFill="1" applyBorder="1"/>
    <xf numFmtId="3" fontId="12" fillId="0" borderId="13" xfId="15" applyNumberFormat="1" applyFill="1" applyBorder="1" applyAlignment="1"/>
    <xf numFmtId="3" fontId="12" fillId="0" borderId="13" xfId="15" applyNumberFormat="1" applyFill="1" applyBorder="1"/>
    <xf numFmtId="10" fontId="12" fillId="0" borderId="8" xfId="15" applyNumberFormat="1" applyFill="1" applyBorder="1"/>
    <xf numFmtId="0" fontId="6" fillId="0" borderId="0" xfId="15" applyFont="1"/>
    <xf numFmtId="3" fontId="6" fillId="7" borderId="50" xfId="15" applyNumberFormat="1" applyFont="1" applyFill="1" applyBorder="1" applyAlignment="1">
      <alignment horizontal="right"/>
    </xf>
    <xf numFmtId="3" fontId="12" fillId="7" borderId="52" xfId="15" applyNumberFormat="1" applyFill="1" applyBorder="1" applyAlignment="1">
      <alignment horizontal="center"/>
    </xf>
    <xf numFmtId="3" fontId="12" fillId="7" borderId="29" xfId="15" applyNumberFormat="1" applyFill="1" applyBorder="1" applyAlignment="1">
      <alignment horizontal="right"/>
    </xf>
    <xf numFmtId="3" fontId="12" fillId="7" borderId="26" xfId="15" applyNumberFormat="1" applyFill="1" applyBorder="1" applyAlignment="1">
      <alignment horizontal="center"/>
    </xf>
    <xf numFmtId="3" fontId="12" fillId="7" borderId="36" xfId="15" applyNumberFormat="1" applyFill="1" applyBorder="1" applyAlignment="1">
      <alignment horizontal="center"/>
    </xf>
    <xf numFmtId="3" fontId="12" fillId="7" borderId="21" xfId="15" applyNumberFormat="1" applyFill="1" applyBorder="1"/>
    <xf numFmtId="3" fontId="12" fillId="7" borderId="52" xfId="15" applyNumberFormat="1" applyFill="1" applyBorder="1"/>
    <xf numFmtId="3" fontId="1" fillId="7" borderId="43" xfId="15" applyNumberFormat="1" applyFont="1" applyFill="1" applyBorder="1"/>
    <xf numFmtId="3" fontId="12" fillId="0" borderId="43" xfId="15" applyNumberFormat="1" applyFill="1" applyBorder="1"/>
    <xf numFmtId="3" fontId="12" fillId="0" borderId="30" xfId="15" applyNumberFormat="1" applyFill="1" applyBorder="1"/>
    <xf numFmtId="3" fontId="12" fillId="0" borderId="72" xfId="15" applyNumberFormat="1" applyFill="1" applyBorder="1" applyAlignment="1">
      <alignment horizontal="center"/>
    </xf>
    <xf numFmtId="0" fontId="12" fillId="0" borderId="0" xfId="15" applyFill="1" applyBorder="1"/>
    <xf numFmtId="3" fontId="12" fillId="0" borderId="21" xfId="15" applyNumberFormat="1" applyFill="1" applyBorder="1" applyAlignment="1"/>
    <xf numFmtId="10" fontId="12" fillId="0" borderId="43" xfId="15" applyNumberFormat="1" applyFill="1" applyBorder="1"/>
    <xf numFmtId="3" fontId="12" fillId="0" borderId="25" xfId="15" applyNumberFormat="1" applyFill="1" applyBorder="1"/>
    <xf numFmtId="3" fontId="12" fillId="0" borderId="25" xfId="15" applyNumberFormat="1" applyFill="1" applyBorder="1" applyAlignment="1">
      <alignment horizontal="center"/>
    </xf>
    <xf numFmtId="0" fontId="12" fillId="0" borderId="25" xfId="15" applyFill="1" applyBorder="1"/>
    <xf numFmtId="3" fontId="12" fillId="0" borderId="25" xfId="15" applyNumberFormat="1" applyFill="1" applyBorder="1" applyAlignment="1"/>
    <xf numFmtId="3" fontId="12" fillId="0" borderId="15" xfId="15" applyNumberFormat="1" applyFill="1" applyBorder="1"/>
    <xf numFmtId="10" fontId="12" fillId="0" borderId="17" xfId="15" applyNumberFormat="1" applyFill="1" applyBorder="1"/>
    <xf numFmtId="3" fontId="12" fillId="0" borderId="26" xfId="15" applyNumberFormat="1" applyFill="1" applyBorder="1" applyAlignment="1">
      <alignment horizontal="right"/>
    </xf>
    <xf numFmtId="3" fontId="12" fillId="2" borderId="24" xfId="15" applyNumberFormat="1" applyFill="1" applyBorder="1" applyAlignment="1">
      <alignment horizontal="right"/>
    </xf>
    <xf numFmtId="3" fontId="12" fillId="2" borderId="36" xfId="15" applyNumberFormat="1" applyFill="1" applyBorder="1"/>
    <xf numFmtId="3" fontId="1" fillId="0" borderId="44" xfId="15" applyNumberFormat="1" applyFont="1" applyFill="1" applyBorder="1"/>
    <xf numFmtId="3" fontId="12" fillId="0" borderId="44" xfId="15" applyNumberFormat="1" applyFill="1" applyBorder="1"/>
    <xf numFmtId="3" fontId="12" fillId="0" borderId="71" xfId="15" applyNumberFormat="1" applyFill="1" applyBorder="1" applyAlignment="1">
      <alignment horizontal="center"/>
    </xf>
    <xf numFmtId="3" fontId="12" fillId="0" borderId="36" xfId="15" applyNumberFormat="1" applyFill="1" applyBorder="1" applyAlignment="1">
      <alignment horizontal="center"/>
    </xf>
    <xf numFmtId="3" fontId="12" fillId="0" borderId="24" xfId="15" applyNumberFormat="1" applyFill="1" applyBorder="1"/>
    <xf numFmtId="0" fontId="12" fillId="0" borderId="31" xfId="15" applyFill="1" applyBorder="1"/>
    <xf numFmtId="3" fontId="12" fillId="0" borderId="23" xfId="15" applyNumberFormat="1" applyFill="1" applyBorder="1" applyAlignment="1"/>
    <xf numFmtId="0" fontId="12" fillId="0" borderId="44" xfId="15" applyFill="1" applyBorder="1"/>
    <xf numFmtId="0" fontId="12" fillId="0" borderId="0" xfId="15" applyAlignment="1">
      <alignment wrapText="1"/>
    </xf>
    <xf numFmtId="0" fontId="12" fillId="0" borderId="0" xfId="15" applyFont="1" applyAlignment="1">
      <alignment wrapText="1"/>
    </xf>
    <xf numFmtId="0" fontId="12" fillId="3" borderId="1" xfId="15" applyFill="1" applyBorder="1"/>
    <xf numFmtId="0" fontId="3" fillId="3" borderId="32" xfId="60" applyFont="1" applyFill="1" applyBorder="1" applyAlignment="1">
      <alignment horizontal="center"/>
    </xf>
    <xf numFmtId="3" fontId="12" fillId="3" borderId="1" xfId="15" applyNumberFormat="1" applyFill="1" applyBorder="1"/>
    <xf numFmtId="3" fontId="12" fillId="3" borderId="2" xfId="15" applyNumberFormat="1" applyFill="1" applyBorder="1"/>
    <xf numFmtId="3" fontId="12" fillId="3" borderId="14" xfId="15" applyNumberFormat="1" applyFill="1" applyBorder="1"/>
    <xf numFmtId="3" fontId="12" fillId="3" borderId="32" xfId="15" applyNumberFormat="1" applyFill="1" applyBorder="1"/>
    <xf numFmtId="3" fontId="1" fillId="3" borderId="10" xfId="15" applyNumberFormat="1" applyFont="1" applyFill="1" applyBorder="1"/>
    <xf numFmtId="3" fontId="12" fillId="2" borderId="15" xfId="15" applyNumberFormat="1" applyFill="1" applyBorder="1"/>
    <xf numFmtId="3" fontId="12" fillId="3" borderId="10" xfId="15" applyNumberFormat="1" applyFill="1" applyBorder="1"/>
    <xf numFmtId="0" fontId="12" fillId="3" borderId="38" xfId="15" applyFill="1" applyBorder="1"/>
    <xf numFmtId="3" fontId="12" fillId="3" borderId="27" xfId="15" applyNumberFormat="1" applyFill="1" applyBorder="1"/>
    <xf numFmtId="3" fontId="12" fillId="3" borderId="28" xfId="15" applyNumberFormat="1" applyFill="1" applyBorder="1"/>
    <xf numFmtId="3" fontId="12" fillId="3" borderId="29" xfId="15" applyNumberFormat="1" applyFill="1" applyBorder="1"/>
    <xf numFmtId="10" fontId="12" fillId="3" borderId="10" xfId="15" applyNumberFormat="1" applyFill="1" applyBorder="1"/>
    <xf numFmtId="0" fontId="12" fillId="5" borderId="16" xfId="15" applyFill="1" applyBorder="1"/>
    <xf numFmtId="0" fontId="12" fillId="5" borderId="25" xfId="15" applyFill="1" applyBorder="1"/>
    <xf numFmtId="0" fontId="12" fillId="5" borderId="17" xfId="15" applyFill="1" applyBorder="1"/>
    <xf numFmtId="0" fontId="12" fillId="0" borderId="3" xfId="15" applyBorder="1"/>
    <xf numFmtId="0" fontId="3" fillId="0" borderId="33" xfId="60" applyFont="1" applyBorder="1" applyAlignment="1">
      <alignment horizontal="center"/>
    </xf>
    <xf numFmtId="3" fontId="12" fillId="0" borderId="3" xfId="15" applyNumberFormat="1" applyBorder="1"/>
    <xf numFmtId="3" fontId="12" fillId="0" borderId="4" xfId="15" applyNumberFormat="1" applyBorder="1"/>
    <xf numFmtId="3" fontId="12" fillId="0" borderId="12" xfId="15" applyNumberFormat="1" applyBorder="1"/>
    <xf numFmtId="3" fontId="12" fillId="0" borderId="34" xfId="15" applyNumberFormat="1" applyBorder="1"/>
    <xf numFmtId="3" fontId="12" fillId="0" borderId="33" xfId="15" applyNumberFormat="1" applyBorder="1"/>
    <xf numFmtId="3" fontId="1" fillId="0" borderId="9" xfId="15" applyNumberFormat="1" applyFont="1" applyBorder="1"/>
    <xf numFmtId="3" fontId="12" fillId="0" borderId="9" xfId="15" applyNumberFormat="1" applyBorder="1"/>
    <xf numFmtId="3" fontId="12" fillId="0" borderId="9" xfId="15" applyNumberFormat="1" applyFill="1" applyBorder="1"/>
    <xf numFmtId="3" fontId="12" fillId="0" borderId="22" xfId="15" applyNumberFormat="1" applyBorder="1"/>
    <xf numFmtId="3" fontId="12" fillId="0" borderId="0" xfId="15" applyNumberFormat="1" applyBorder="1"/>
    <xf numFmtId="3" fontId="12" fillId="0" borderId="21" xfId="15" applyNumberFormat="1" applyBorder="1"/>
    <xf numFmtId="10" fontId="12" fillId="0" borderId="43" xfId="15" applyNumberFormat="1" applyBorder="1"/>
    <xf numFmtId="3" fontId="12" fillId="0" borderId="0" xfId="15" applyNumberFormat="1"/>
    <xf numFmtId="3" fontId="6" fillId="0" borderId="0" xfId="15" applyNumberFormat="1" applyFont="1"/>
    <xf numFmtId="0" fontId="12" fillId="0" borderId="3" xfId="15" applyFill="1" applyBorder="1"/>
    <xf numFmtId="0" fontId="3" fillId="0" borderId="33" xfId="60" applyFont="1" applyFill="1" applyBorder="1" applyAlignment="1">
      <alignment horizontal="center"/>
    </xf>
    <xf numFmtId="3" fontId="12" fillId="0" borderId="3" xfId="15" applyNumberFormat="1" applyFill="1" applyBorder="1"/>
    <xf numFmtId="3" fontId="5" fillId="0" borderId="4" xfId="15" applyNumberFormat="1" applyFont="1" applyFill="1" applyBorder="1"/>
    <xf numFmtId="3" fontId="12" fillId="0" borderId="12" xfId="15" applyNumberFormat="1" applyFill="1" applyBorder="1"/>
    <xf numFmtId="3" fontId="12" fillId="0" borderId="34" xfId="15" applyNumberFormat="1" applyFill="1" applyBorder="1"/>
    <xf numFmtId="3" fontId="12" fillId="0" borderId="33" xfId="15" applyNumberFormat="1" applyFill="1" applyBorder="1"/>
    <xf numFmtId="3" fontId="12" fillId="0" borderId="4" xfId="15" applyNumberFormat="1" applyFill="1" applyBorder="1"/>
    <xf numFmtId="3" fontId="1" fillId="0" borderId="9" xfId="15" applyNumberFormat="1" applyFont="1" applyFill="1" applyBorder="1"/>
    <xf numFmtId="3" fontId="12" fillId="0" borderId="11" xfId="15" applyNumberFormat="1" applyFill="1" applyBorder="1"/>
    <xf numFmtId="0" fontId="12" fillId="0" borderId="5" xfId="15" applyBorder="1"/>
    <xf numFmtId="0" fontId="3" fillId="0" borderId="47" xfId="60" applyFont="1" applyBorder="1" applyAlignment="1">
      <alignment horizontal="center"/>
    </xf>
    <xf numFmtId="3" fontId="12" fillId="0" borderId="5" xfId="15" applyNumberFormat="1" applyBorder="1"/>
    <xf numFmtId="3" fontId="5" fillId="0" borderId="6" xfId="15" applyNumberFormat="1" applyFont="1" applyBorder="1"/>
    <xf numFmtId="3" fontId="12" fillId="0" borderId="13" xfId="15" applyNumberFormat="1" applyBorder="1"/>
    <xf numFmtId="3" fontId="12" fillId="0" borderId="26" xfId="15" applyNumberFormat="1" applyBorder="1"/>
    <xf numFmtId="3" fontId="12" fillId="0" borderId="47" xfId="15" applyNumberFormat="1" applyBorder="1"/>
    <xf numFmtId="3" fontId="12" fillId="0" borderId="6" xfId="15" applyNumberFormat="1" applyBorder="1"/>
    <xf numFmtId="3" fontId="1" fillId="0" borderId="8" xfId="15" applyNumberFormat="1" applyFont="1" applyBorder="1"/>
    <xf numFmtId="3" fontId="12" fillId="0" borderId="23" xfId="15" applyNumberFormat="1" applyBorder="1"/>
    <xf numFmtId="3" fontId="12" fillId="0" borderId="8" xfId="15" applyNumberFormat="1" applyBorder="1"/>
    <xf numFmtId="3" fontId="12" fillId="0" borderId="68" xfId="15" applyNumberFormat="1" applyBorder="1"/>
    <xf numFmtId="3" fontId="12" fillId="0" borderId="24" xfId="15" applyNumberFormat="1" applyBorder="1"/>
    <xf numFmtId="3" fontId="12" fillId="0" borderId="31" xfId="15" applyNumberFormat="1" applyBorder="1"/>
    <xf numFmtId="3" fontId="5" fillId="0" borderId="23" xfId="15" applyNumberFormat="1" applyFont="1" applyBorder="1"/>
    <xf numFmtId="10" fontId="5" fillId="0" borderId="44" xfId="15" applyNumberFormat="1" applyFont="1" applyBorder="1"/>
    <xf numFmtId="3" fontId="12" fillId="3" borderId="38" xfId="15" applyNumberFormat="1" applyFill="1" applyBorder="1"/>
    <xf numFmtId="3" fontId="5" fillId="0" borderId="21" xfId="15" applyNumberFormat="1" applyFont="1" applyBorder="1"/>
    <xf numFmtId="10" fontId="5" fillId="0" borderId="43" xfId="15" applyNumberFormat="1" applyFont="1" applyBorder="1"/>
    <xf numFmtId="3" fontId="36" fillId="0" borderId="0" xfId="15" applyNumberFormat="1" applyFont="1"/>
    <xf numFmtId="0" fontId="36" fillId="0" borderId="0" xfId="15" applyFont="1"/>
    <xf numFmtId="3" fontId="5" fillId="0" borderId="4" xfId="15" applyNumberFormat="1" applyFont="1" applyBorder="1"/>
    <xf numFmtId="3" fontId="5" fillId="0" borderId="33" xfId="15" applyNumberFormat="1" applyFont="1" applyFill="1" applyBorder="1"/>
    <xf numFmtId="3" fontId="12" fillId="0" borderId="47" xfId="15" applyNumberFormat="1" applyFill="1" applyBorder="1"/>
    <xf numFmtId="3" fontId="12" fillId="0" borderId="6" xfId="15" applyNumberFormat="1" applyFill="1" applyBorder="1"/>
    <xf numFmtId="10" fontId="12" fillId="0" borderId="44" xfId="15" applyNumberFormat="1" applyBorder="1"/>
    <xf numFmtId="3" fontId="12" fillId="3" borderId="46" xfId="15" applyNumberFormat="1" applyFill="1" applyBorder="1"/>
    <xf numFmtId="3" fontId="15" fillId="0" borderId="21" xfId="15" applyNumberFormat="1" applyFont="1" applyBorder="1"/>
    <xf numFmtId="3" fontId="6" fillId="0" borderId="4" xfId="15" applyNumberFormat="1" applyFont="1" applyBorder="1"/>
    <xf numFmtId="3" fontId="6" fillId="0" borderId="6" xfId="15" applyNumberFormat="1" applyFont="1" applyBorder="1"/>
    <xf numFmtId="3" fontId="12" fillId="0" borderId="70" xfId="15" applyNumberFormat="1" applyFill="1" applyBorder="1"/>
    <xf numFmtId="3" fontId="5" fillId="3" borderId="10" xfId="15" applyNumberFormat="1" applyFont="1" applyFill="1" applyBorder="1"/>
    <xf numFmtId="3" fontId="5" fillId="0" borderId="0" xfId="15" applyNumberFormat="1" applyFont="1"/>
    <xf numFmtId="3" fontId="5" fillId="0" borderId="3" xfId="15" applyNumberFormat="1" applyFont="1" applyFill="1" applyBorder="1"/>
    <xf numFmtId="3" fontId="6" fillId="0" borderId="4" xfId="15" applyNumberFormat="1" applyFont="1" applyFill="1" applyBorder="1"/>
    <xf numFmtId="3" fontId="14" fillId="0" borderId="0" xfId="15" applyNumberFormat="1" applyFont="1"/>
    <xf numFmtId="0" fontId="15" fillId="0" borderId="0" xfId="15" applyFont="1"/>
    <xf numFmtId="3" fontId="6" fillId="0" borderId="21" xfId="15" applyNumberFormat="1" applyFont="1" applyBorder="1"/>
    <xf numFmtId="10" fontId="6" fillId="0" borderId="43" xfId="15" applyNumberFormat="1" applyFont="1" applyBorder="1"/>
    <xf numFmtId="10" fontId="6" fillId="0" borderId="44" xfId="15" applyNumberFormat="1" applyFont="1" applyBorder="1"/>
    <xf numFmtId="3" fontId="5" fillId="0" borderId="3" xfId="15" applyNumberFormat="1" applyFont="1" applyBorder="1"/>
    <xf numFmtId="3" fontId="5" fillId="0" borderId="12" xfId="15" applyNumberFormat="1" applyFont="1" applyFill="1" applyBorder="1"/>
    <xf numFmtId="3" fontId="17" fillId="0" borderId="9" xfId="15" applyNumberFormat="1" applyFont="1" applyBorder="1"/>
    <xf numFmtId="3" fontId="7" fillId="0" borderId="30" xfId="15" applyNumberFormat="1" applyFont="1" applyBorder="1"/>
    <xf numFmtId="3" fontId="7" fillId="0" borderId="0" xfId="15" applyNumberFormat="1" applyFont="1" applyBorder="1"/>
    <xf numFmtId="3" fontId="7" fillId="0" borderId="21" xfId="15" applyNumberFormat="1" applyFont="1" applyBorder="1"/>
    <xf numFmtId="3" fontId="14" fillId="0" borderId="21" xfId="15" applyNumberFormat="1" applyFont="1" applyBorder="1"/>
    <xf numFmtId="3" fontId="7" fillId="0" borderId="24" xfId="15" applyNumberFormat="1" applyFont="1" applyBorder="1"/>
    <xf numFmtId="3" fontId="7" fillId="0" borderId="31" xfId="15" applyNumberFormat="1" applyFont="1" applyBorder="1"/>
    <xf numFmtId="3" fontId="7" fillId="0" borderId="23" xfId="15" applyNumberFormat="1" applyFont="1" applyBorder="1"/>
    <xf numFmtId="3" fontId="7" fillId="3" borderId="27" xfId="15" applyNumberFormat="1" applyFont="1" applyFill="1" applyBorder="1"/>
    <xf numFmtId="3" fontId="7" fillId="3" borderId="28" xfId="15" applyNumberFormat="1" applyFont="1" applyFill="1" applyBorder="1"/>
    <xf numFmtId="3" fontId="7" fillId="3" borderId="29" xfId="15" applyNumberFormat="1" applyFont="1" applyFill="1" applyBorder="1"/>
    <xf numFmtId="3" fontId="7" fillId="3" borderId="10" xfId="15" applyNumberFormat="1" applyFont="1" applyFill="1" applyBorder="1"/>
    <xf numFmtId="3" fontId="7" fillId="0" borderId="0" xfId="15" applyNumberFormat="1" applyFont="1" applyFill="1" applyBorder="1"/>
    <xf numFmtId="3" fontId="15" fillId="0" borderId="23" xfId="15" applyNumberFormat="1" applyFont="1" applyBorder="1"/>
    <xf numFmtId="0" fontId="12" fillId="3" borderId="34" xfId="15" applyFill="1" applyBorder="1"/>
    <xf numFmtId="0" fontId="3" fillId="3" borderId="45" xfId="60" applyFont="1" applyFill="1" applyBorder="1" applyAlignment="1">
      <alignment horizontal="center"/>
    </xf>
    <xf numFmtId="3" fontId="12" fillId="3" borderId="34" xfId="15" applyNumberFormat="1" applyFill="1" applyBorder="1"/>
    <xf numFmtId="3" fontId="12" fillId="3" borderId="7" xfId="15" applyNumberFormat="1" applyFill="1" applyBorder="1"/>
    <xf numFmtId="3" fontId="12" fillId="3" borderId="11" xfId="15" applyNumberFormat="1" applyFill="1" applyBorder="1"/>
    <xf numFmtId="3" fontId="12" fillId="3" borderId="45" xfId="15" applyNumberFormat="1" applyFill="1" applyBorder="1"/>
    <xf numFmtId="3" fontId="1" fillId="3" borderId="46" xfId="15" applyNumberFormat="1" applyFont="1" applyFill="1" applyBorder="1"/>
    <xf numFmtId="3" fontId="12" fillId="0" borderId="0" xfId="15" applyNumberFormat="1" applyFill="1" applyBorder="1"/>
    <xf numFmtId="3" fontId="12" fillId="3" borderId="69" xfId="15" applyNumberFormat="1" applyFill="1" applyBorder="1"/>
    <xf numFmtId="3" fontId="7" fillId="3" borderId="30" xfId="15" applyNumberFormat="1" applyFont="1" applyFill="1" applyBorder="1"/>
    <xf numFmtId="3" fontId="7" fillId="3" borderId="0" xfId="15" applyNumberFormat="1" applyFont="1" applyFill="1" applyBorder="1"/>
    <xf numFmtId="3" fontId="7" fillId="3" borderId="21" xfId="15" applyNumberFormat="1" applyFont="1" applyFill="1" applyBorder="1"/>
    <xf numFmtId="3" fontId="15" fillId="3" borderId="10" xfId="15" applyNumberFormat="1" applyFont="1" applyFill="1" applyBorder="1"/>
    <xf numFmtId="0" fontId="12" fillId="2" borderId="3" xfId="15" applyFill="1" applyBorder="1"/>
    <xf numFmtId="3" fontId="12" fillId="2" borderId="34" xfId="15" applyNumberFormat="1" applyFill="1" applyBorder="1"/>
    <xf numFmtId="3" fontId="12" fillId="2" borderId="3" xfId="15" applyNumberFormat="1" applyFill="1" applyBorder="1"/>
    <xf numFmtId="3" fontId="12" fillId="0" borderId="42" xfId="15" applyNumberFormat="1" applyFill="1" applyBorder="1"/>
    <xf numFmtId="3" fontId="12" fillId="3" borderId="9" xfId="15" applyNumberFormat="1" applyFill="1" applyBorder="1"/>
    <xf numFmtId="3" fontId="15" fillId="3" borderId="9" xfId="15" applyNumberFormat="1" applyFont="1" applyFill="1" applyBorder="1"/>
    <xf numFmtId="10" fontId="12" fillId="3" borderId="9" xfId="15" applyNumberFormat="1" applyFill="1" applyBorder="1"/>
    <xf numFmtId="0" fontId="12" fillId="7" borderId="3" xfId="15" applyFill="1" applyBorder="1"/>
    <xf numFmtId="3" fontId="12" fillId="0" borderId="3" xfId="15" applyNumberFormat="1" applyBorder="1" applyAlignment="1">
      <alignment horizontal="center"/>
    </xf>
    <xf numFmtId="3" fontId="12" fillId="0" borderId="33" xfId="15" applyNumberFormat="1" applyFill="1" applyBorder="1" applyAlignment="1">
      <alignment horizontal="center"/>
    </xf>
    <xf numFmtId="3" fontId="12" fillId="0" borderId="3" xfId="15" applyNumberFormat="1" applyFill="1" applyBorder="1" applyAlignment="1">
      <alignment horizontal="center"/>
    </xf>
    <xf numFmtId="3" fontId="12" fillId="0" borderId="4" xfId="15" applyNumberFormat="1" applyFill="1" applyBorder="1" applyAlignment="1">
      <alignment horizontal="center"/>
    </xf>
    <xf numFmtId="3" fontId="12" fillId="0" borderId="12" xfId="15" applyNumberFormat="1" applyFill="1" applyBorder="1" applyAlignment="1">
      <alignment horizontal="center"/>
    </xf>
    <xf numFmtId="3" fontId="1" fillId="0" borderId="9" xfId="15" applyNumberFormat="1" applyFont="1" applyBorder="1" applyAlignment="1">
      <alignment horizontal="center"/>
    </xf>
    <xf numFmtId="3" fontId="12" fillId="0" borderId="11" xfId="15" applyNumberFormat="1" applyBorder="1" applyAlignment="1">
      <alignment horizontal="center"/>
    </xf>
    <xf numFmtId="3" fontId="12" fillId="0" borderId="22" xfId="15" applyNumberFormat="1" applyBorder="1" applyAlignment="1">
      <alignment horizontal="center"/>
    </xf>
    <xf numFmtId="3" fontId="12" fillId="0" borderId="46" xfId="15" applyNumberFormat="1" applyBorder="1"/>
    <xf numFmtId="3" fontId="5" fillId="0" borderId="20" xfId="15" applyNumberFormat="1" applyFont="1" applyBorder="1"/>
    <xf numFmtId="3" fontId="6" fillId="0" borderId="65" xfId="15" applyNumberFormat="1" applyFont="1" applyBorder="1"/>
    <xf numFmtId="3" fontId="12" fillId="0" borderId="66" xfId="15" applyNumberFormat="1" applyBorder="1"/>
    <xf numFmtId="3" fontId="12" fillId="0" borderId="20" xfId="15" applyNumberFormat="1" applyBorder="1" applyAlignment="1">
      <alignment horizontal="center"/>
    </xf>
    <xf numFmtId="3" fontId="12" fillId="0" borderId="35" xfId="15" applyNumberFormat="1" applyFill="1" applyBorder="1" applyAlignment="1">
      <alignment horizontal="center"/>
    </xf>
    <xf numFmtId="3" fontId="12" fillId="0" borderId="20" xfId="15" applyNumberFormat="1" applyFill="1" applyBorder="1"/>
    <xf numFmtId="3" fontId="12" fillId="0" borderId="65" xfId="15" applyNumberFormat="1" applyFill="1" applyBorder="1"/>
    <xf numFmtId="3" fontId="6" fillId="0" borderId="12" xfId="15" applyNumberFormat="1" applyFont="1" applyFill="1" applyBorder="1"/>
    <xf numFmtId="3" fontId="8" fillId="0" borderId="9" xfId="15" applyNumberFormat="1" applyFont="1" applyBorder="1"/>
    <xf numFmtId="3" fontId="12" fillId="2" borderId="9" xfId="15" applyNumberFormat="1" applyFill="1" applyBorder="1"/>
    <xf numFmtId="0" fontId="1" fillId="0" borderId="18" xfId="15" applyFont="1" applyBorder="1"/>
    <xf numFmtId="0" fontId="3" fillId="0" borderId="19" xfId="60" applyFont="1" applyBorder="1" applyAlignment="1">
      <alignment horizontal="center"/>
    </xf>
    <xf numFmtId="3" fontId="12" fillId="0" borderId="18" xfId="15" applyNumberFormat="1" applyBorder="1"/>
    <xf numFmtId="3" fontId="12" fillId="0" borderId="17" xfId="15" applyNumberFormat="1" applyBorder="1"/>
    <xf numFmtId="3" fontId="12" fillId="0" borderId="67" xfId="15" applyNumberFormat="1" applyFill="1" applyBorder="1"/>
    <xf numFmtId="3" fontId="12" fillId="0" borderId="19" xfId="15" applyNumberFormat="1" applyFill="1" applyBorder="1"/>
    <xf numFmtId="3" fontId="6" fillId="0" borderId="19" xfId="15" applyNumberFormat="1" applyFont="1" applyFill="1" applyBorder="1"/>
    <xf numFmtId="3" fontId="18" fillId="0" borderId="15" xfId="15" applyNumberFormat="1" applyFont="1" applyBorder="1"/>
    <xf numFmtId="3" fontId="19" fillId="0" borderId="17" xfId="15" applyNumberFormat="1" applyFont="1" applyBorder="1"/>
    <xf numFmtId="0" fontId="12" fillId="0" borderId="15" xfId="15" applyBorder="1"/>
    <xf numFmtId="3" fontId="19" fillId="0" borderId="0" xfId="15" applyNumberFormat="1" applyFont="1" applyFill="1" applyBorder="1"/>
    <xf numFmtId="3" fontId="6" fillId="0" borderId="0" xfId="15" applyNumberFormat="1" applyFont="1" applyAlignment="1">
      <alignment horizontal="right"/>
    </xf>
    <xf numFmtId="3" fontId="21" fillId="0" borderId="0" xfId="15" applyNumberFormat="1" applyFont="1"/>
    <xf numFmtId="3" fontId="12" fillId="0" borderId="0" xfId="15" applyNumberFormat="1" applyFill="1"/>
    <xf numFmtId="10" fontId="0" fillId="0" borderId="44" xfId="0" applyNumberFormat="1" applyFill="1" applyBorder="1" applyAlignment="1">
      <alignment horizontal="right"/>
    </xf>
    <xf numFmtId="3" fontId="0" fillId="7" borderId="15" xfId="0" applyNumberFormat="1" applyFill="1" applyBorder="1"/>
    <xf numFmtId="3" fontId="0" fillId="7" borderId="17" xfId="0" applyNumberFormat="1" applyFill="1" applyBorder="1"/>
    <xf numFmtId="0" fontId="3" fillId="8" borderId="23" xfId="1" applyFont="1" applyFill="1" applyBorder="1" applyAlignment="1">
      <alignment horizontal="center"/>
    </xf>
    <xf numFmtId="0" fontId="1" fillId="0" borderId="17" xfId="0" applyFont="1" applyFill="1" applyBorder="1" applyAlignment="1">
      <alignment vertical="center"/>
    </xf>
    <xf numFmtId="0" fontId="0" fillId="0" borderId="28" xfId="0" applyFill="1" applyBorder="1" applyAlignment="1">
      <alignment horizontal="center"/>
    </xf>
    <xf numFmtId="3" fontId="0" fillId="7" borderId="74" xfId="0" applyNumberFormat="1" applyFill="1" applyBorder="1" applyAlignment="1">
      <alignment horizontal="center"/>
    </xf>
    <xf numFmtId="3" fontId="0" fillId="7" borderId="54" xfId="0" applyNumberFormat="1" applyFill="1" applyBorder="1" applyAlignment="1">
      <alignment horizontal="center"/>
    </xf>
    <xf numFmtId="3" fontId="0" fillId="0" borderId="24" xfId="0" applyNumberFormat="1" applyFill="1" applyBorder="1" applyAlignment="1">
      <alignment horizontal="right"/>
    </xf>
    <xf numFmtId="10" fontId="0" fillId="7" borderId="15" xfId="0" applyNumberFormat="1" applyFill="1" applyBorder="1" applyAlignment="1">
      <alignment horizontal="right"/>
    </xf>
    <xf numFmtId="3" fontId="0" fillId="2" borderId="16" xfId="0" applyNumberFormat="1" applyFill="1" applyBorder="1" applyAlignment="1">
      <alignment horizontal="right"/>
    </xf>
    <xf numFmtId="10" fontId="19" fillId="0" borderId="44" xfId="0" applyNumberFormat="1" applyFont="1" applyFill="1" applyBorder="1"/>
    <xf numFmtId="0" fontId="1" fillId="0" borderId="19" xfId="0" applyFont="1" applyFill="1" applyBorder="1" applyAlignment="1">
      <alignment vertical="center"/>
    </xf>
    <xf numFmtId="10" fontId="0" fillId="0" borderId="0" xfId="0" applyNumberFormat="1"/>
    <xf numFmtId="0" fontId="8" fillId="0" borderId="0" xfId="0" applyFont="1" applyBorder="1"/>
    <xf numFmtId="0" fontId="8" fillId="0" borderId="0" xfId="0" applyFont="1" applyFill="1" applyBorder="1"/>
    <xf numFmtId="10" fontId="8" fillId="0" borderId="0" xfId="0" applyNumberFormat="1" applyFont="1" applyFill="1" applyBorder="1"/>
    <xf numFmtId="3" fontId="0" fillId="0" borderId="42" xfId="0" applyNumberFormat="1" applyFill="1" applyBorder="1" applyAlignment="1">
      <alignment horizontal="right"/>
    </xf>
    <xf numFmtId="0" fontId="0" fillId="0" borderId="20" xfId="0" applyBorder="1"/>
    <xf numFmtId="0" fontId="3" fillId="0" borderId="35" xfId="1" applyFont="1" applyBorder="1" applyAlignment="1">
      <alignment horizontal="center"/>
    </xf>
    <xf numFmtId="0" fontId="0" fillId="0" borderId="43" xfId="0" applyFill="1" applyBorder="1" applyAlignment="1">
      <alignment horizontal="center"/>
    </xf>
    <xf numFmtId="3" fontId="0" fillId="0" borderId="15" xfId="0" applyNumberFormat="1" applyFill="1" applyBorder="1" applyAlignment="1">
      <alignment horizontal="right"/>
    </xf>
    <xf numFmtId="0" fontId="1" fillId="0" borderId="15" xfId="0" applyFont="1" applyFill="1" applyBorder="1" applyAlignment="1">
      <alignment vertical="center"/>
    </xf>
    <xf numFmtId="10" fontId="0" fillId="0" borderId="42" xfId="0" applyNumberFormat="1" applyFill="1" applyBorder="1" applyAlignment="1">
      <alignment horizontal="right"/>
    </xf>
    <xf numFmtId="0" fontId="16" fillId="0" borderId="15" xfId="0" applyFont="1" applyBorder="1" applyAlignment="1">
      <alignment horizontal="center" wrapText="1"/>
    </xf>
    <xf numFmtId="3" fontId="0" fillId="8" borderId="15" xfId="0" applyNumberFormat="1" applyFill="1" applyBorder="1" applyAlignment="1">
      <alignment horizontal="center"/>
    </xf>
    <xf numFmtId="3" fontId="0" fillId="0" borderId="44" xfId="0" applyNumberFormat="1" applyFill="1" applyBorder="1" applyAlignment="1">
      <alignment horizontal="right"/>
    </xf>
    <xf numFmtId="3" fontId="5" fillId="0" borderId="9" xfId="0" applyNumberFormat="1" applyFont="1" applyBorder="1"/>
    <xf numFmtId="10" fontId="5" fillId="0" borderId="30" xfId="0" applyNumberFormat="1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vertical="center"/>
    </xf>
    <xf numFmtId="0" fontId="1" fillId="0" borderId="52" xfId="0" applyFont="1" applyFill="1" applyBorder="1" applyAlignment="1">
      <alignment vertical="center"/>
    </xf>
    <xf numFmtId="3" fontId="5" fillId="0" borderId="16" xfId="0" applyNumberFormat="1" applyFont="1" applyFill="1" applyBorder="1" applyAlignment="1">
      <alignment vertical="center"/>
    </xf>
    <xf numFmtId="3" fontId="0" fillId="8" borderId="17" xfId="0" applyNumberFormat="1" applyFill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3" fontId="20" fillId="7" borderId="17" xfId="0" applyNumberFormat="1" applyFont="1" applyFill="1" applyBorder="1" applyAlignment="1">
      <alignment horizontal="center" vertical="center" wrapText="1"/>
    </xf>
    <xf numFmtId="3" fontId="5" fillId="7" borderId="21" xfId="0" applyNumberFormat="1" applyFont="1" applyFill="1" applyBorder="1" applyAlignment="1">
      <alignment horizontal="right"/>
    </xf>
    <xf numFmtId="0" fontId="1" fillId="0" borderId="23" xfId="0" applyFont="1" applyFill="1" applyBorder="1" applyAlignment="1">
      <alignment vertical="center"/>
    </xf>
    <xf numFmtId="0" fontId="16" fillId="0" borderId="43" xfId="0" applyFont="1" applyBorder="1" applyAlignment="1">
      <alignment horizontal="center" vertical="center" wrapText="1"/>
    </xf>
    <xf numFmtId="3" fontId="17" fillId="0" borderId="15" xfId="0" applyNumberFormat="1" applyFont="1" applyBorder="1"/>
    <xf numFmtId="3" fontId="5" fillId="0" borderId="12" xfId="0" applyNumberFormat="1" applyFont="1" applyBorder="1"/>
    <xf numFmtId="3" fontId="0" fillId="8" borderId="24" xfId="0" applyNumberFormat="1" applyFill="1" applyBorder="1" applyAlignment="1">
      <alignment horizontal="center"/>
    </xf>
    <xf numFmtId="10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0" fontId="0" fillId="0" borderId="0" xfId="0" applyNumberFormat="1" applyFill="1" applyBorder="1"/>
    <xf numFmtId="3" fontId="1" fillId="0" borderId="0" xfId="0" applyNumberFormat="1" applyFont="1" applyFill="1" applyBorder="1"/>
    <xf numFmtId="3" fontId="17" fillId="0" borderId="0" xfId="0" applyNumberFormat="1" applyFont="1" applyFill="1" applyBorder="1"/>
    <xf numFmtId="0" fontId="40" fillId="0" borderId="0" xfId="0" applyFont="1"/>
    <xf numFmtId="0" fontId="40" fillId="0" borderId="43" xfId="0" applyFont="1" applyBorder="1"/>
    <xf numFmtId="0" fontId="40" fillId="0" borderId="30" xfId="0" applyFont="1" applyBorder="1"/>
    <xf numFmtId="0" fontId="40" fillId="0" borderId="21" xfId="0" applyFont="1" applyBorder="1"/>
    <xf numFmtId="3" fontId="40" fillId="0" borderId="27" xfId="0" applyNumberFormat="1" applyFont="1" applyBorder="1"/>
    <xf numFmtId="3" fontId="40" fillId="0" borderId="42" xfId="0" applyNumberFormat="1" applyFont="1" applyBorder="1"/>
    <xf numFmtId="3" fontId="40" fillId="0" borderId="30" xfId="0" applyNumberFormat="1" applyFont="1" applyBorder="1"/>
    <xf numFmtId="3" fontId="40" fillId="0" borderId="43" xfId="0" applyNumberFormat="1" applyFont="1" applyBorder="1" applyAlignment="1">
      <alignment horizontal="left"/>
    </xf>
    <xf numFmtId="3" fontId="40" fillId="0" borderId="43" xfId="0" applyNumberFormat="1" applyFont="1" applyBorder="1" applyAlignment="1">
      <alignment horizontal="right"/>
    </xf>
    <xf numFmtId="3" fontId="40" fillId="0" borderId="44" xfId="0" applyNumberFormat="1" applyFont="1" applyBorder="1"/>
    <xf numFmtId="3" fontId="40" fillId="0" borderId="24" xfId="0" applyNumberFormat="1" applyFont="1" applyBorder="1"/>
    <xf numFmtId="3" fontId="40" fillId="0" borderId="0" xfId="0" applyNumberFormat="1" applyFont="1"/>
    <xf numFmtId="3" fontId="40" fillId="0" borderId="23" xfId="0" applyNumberFormat="1" applyFont="1" applyBorder="1"/>
    <xf numFmtId="10" fontId="40" fillId="0" borderId="0" xfId="0" applyNumberFormat="1" applyFont="1"/>
    <xf numFmtId="3" fontId="5" fillId="0" borderId="9" xfId="0" applyNumberFormat="1" applyFont="1" applyFill="1" applyBorder="1"/>
    <xf numFmtId="164" fontId="0" fillId="0" borderId="0" xfId="62" applyFont="1"/>
    <xf numFmtId="168" fontId="0" fillId="0" borderId="4" xfId="62" applyNumberFormat="1" applyFont="1" applyBorder="1"/>
    <xf numFmtId="168" fontId="0" fillId="3" borderId="2" xfId="62" applyNumberFormat="1" applyFont="1" applyFill="1" applyBorder="1"/>
    <xf numFmtId="168" fontId="0" fillId="0" borderId="65" xfId="62" applyNumberFormat="1" applyFont="1" applyBorder="1"/>
    <xf numFmtId="168" fontId="5" fillId="0" borderId="4" xfId="62" applyNumberFormat="1" applyFont="1" applyBorder="1"/>
    <xf numFmtId="3" fontId="42" fillId="40" borderId="1" xfId="0" applyNumberFormat="1" applyFont="1" applyFill="1" applyBorder="1"/>
    <xf numFmtId="3" fontId="42" fillId="0" borderId="3" xfId="0" applyNumberFormat="1" applyFont="1" applyFill="1" applyBorder="1"/>
    <xf numFmtId="3" fontId="42" fillId="0" borderId="5" xfId="0" applyNumberFormat="1" applyFont="1" applyFill="1" applyBorder="1"/>
    <xf numFmtId="3" fontId="40" fillId="0" borderId="21" xfId="0" applyNumberFormat="1" applyFont="1" applyBorder="1"/>
    <xf numFmtId="0" fontId="40" fillId="0" borderId="24" xfId="0" applyFont="1" applyBorder="1"/>
    <xf numFmtId="3" fontId="5" fillId="3" borderId="10" xfId="0" applyNumberFormat="1" applyFont="1" applyFill="1" applyBorder="1"/>
    <xf numFmtId="3" fontId="5" fillId="3" borderId="14" xfId="0" applyNumberFormat="1" applyFont="1" applyFill="1" applyBorder="1"/>
    <xf numFmtId="3" fontId="5" fillId="3" borderId="32" xfId="0" applyNumberFormat="1" applyFont="1" applyFill="1" applyBorder="1"/>
    <xf numFmtId="0" fontId="0" fillId="0" borderId="29" xfId="0" applyBorder="1" applyAlignment="1">
      <alignment horizontal="center"/>
    </xf>
    <xf numFmtId="0" fontId="40" fillId="0" borderId="15" xfId="0" applyFont="1" applyBorder="1" applyAlignment="1">
      <alignment horizontal="center" vertical="center"/>
    </xf>
    <xf numFmtId="3" fontId="40" fillId="0" borderId="17" xfId="0" applyNumberFormat="1" applyFont="1" applyBorder="1"/>
    <xf numFmtId="3" fontId="40" fillId="0" borderId="23" xfId="0" applyNumberFormat="1" applyFont="1" applyFill="1" applyBorder="1"/>
    <xf numFmtId="3" fontId="40" fillId="0" borderId="15" xfId="0" applyNumberFormat="1" applyFont="1" applyBorder="1"/>
    <xf numFmtId="3" fontId="42" fillId="0" borderId="24" xfId="0" applyNumberFormat="1" applyFont="1" applyFill="1" applyBorder="1" applyAlignment="1">
      <alignment horizontal="right"/>
    </xf>
    <xf numFmtId="3" fontId="42" fillId="0" borderId="36" xfId="0" applyNumberFormat="1" applyFont="1" applyFill="1" applyBorder="1"/>
    <xf numFmtId="0" fontId="40" fillId="0" borderId="42" xfId="0" applyFont="1" applyBorder="1"/>
    <xf numFmtId="10" fontId="40" fillId="0" borderId="43" xfId="0" applyNumberFormat="1" applyFont="1" applyBorder="1"/>
    <xf numFmtId="10" fontId="40" fillId="0" borderId="44" xfId="0" applyNumberFormat="1" applyFont="1" applyBorder="1"/>
    <xf numFmtId="10" fontId="40" fillId="0" borderId="43" xfId="0" applyNumberFormat="1" applyFont="1" applyFill="1" applyBorder="1" applyAlignment="1">
      <alignment horizontal="right"/>
    </xf>
    <xf numFmtId="0" fontId="40" fillId="0" borderId="44" xfId="0" applyFont="1" applyBorder="1"/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3" fontId="0" fillId="8" borderId="15" xfId="0" applyNumberFormat="1" applyFont="1" applyFill="1" applyBorder="1"/>
    <xf numFmtId="3" fontId="42" fillId="0" borderId="33" xfId="0" applyNumberFormat="1" applyFont="1" applyFill="1" applyBorder="1"/>
    <xf numFmtId="3" fontId="42" fillId="0" borderId="47" xfId="0" applyNumberFormat="1" applyFont="1" applyFill="1" applyBorder="1"/>
    <xf numFmtId="3" fontId="42" fillId="40" borderId="32" xfId="0" applyNumberFormat="1" applyFont="1" applyFill="1" applyBorder="1"/>
    <xf numFmtId="3" fontId="40" fillId="0" borderId="3" xfId="0" applyNumberFormat="1" applyFont="1" applyBorder="1"/>
    <xf numFmtId="0" fontId="40" fillId="0" borderId="4" xfId="0" applyFont="1" applyBorder="1"/>
    <xf numFmtId="3" fontId="40" fillId="2" borderId="4" xfId="0" applyNumberFormat="1" applyFont="1" applyFill="1" applyBorder="1"/>
    <xf numFmtId="3" fontId="42" fillId="40" borderId="76" xfId="0" applyNumberFormat="1" applyFont="1" applyFill="1" applyBorder="1"/>
    <xf numFmtId="3" fontId="1" fillId="2" borderId="15" xfId="0" applyNumberFormat="1" applyFont="1" applyFill="1" applyBorder="1"/>
    <xf numFmtId="0" fontId="0" fillId="0" borderId="17" xfId="0" applyFill="1" applyBorder="1" applyAlignment="1">
      <alignment horizontal="center"/>
    </xf>
    <xf numFmtId="3" fontId="1" fillId="6" borderId="15" xfId="0" applyNumberFormat="1" applyFont="1" applyFill="1" applyBorder="1"/>
    <xf numFmtId="0" fontId="16" fillId="0" borderId="44" xfId="0" applyFont="1" applyBorder="1" applyAlignment="1">
      <alignment horizontal="center" vertical="center" wrapText="1"/>
    </xf>
    <xf numFmtId="9" fontId="0" fillId="0" borderId="0" xfId="0" applyNumberFormat="1" applyAlignment="1">
      <alignment horizontal="right"/>
    </xf>
    <xf numFmtId="10" fontId="8" fillId="0" borderId="17" xfId="0" applyNumberFormat="1" applyFont="1" applyFill="1" applyBorder="1" applyAlignment="1">
      <alignment vertical="center"/>
    </xf>
    <xf numFmtId="10" fontId="8" fillId="0" borderId="15" xfId="0" applyNumberFormat="1" applyFont="1" applyFill="1" applyBorder="1" applyAlignment="1">
      <alignment vertical="center"/>
    </xf>
    <xf numFmtId="169" fontId="0" fillId="0" borderId="0" xfId="0" applyNumberFormat="1" applyFill="1"/>
    <xf numFmtId="3" fontId="21" fillId="0" borderId="0" xfId="0" applyNumberFormat="1" applyFont="1" applyFill="1"/>
    <xf numFmtId="0" fontId="0" fillId="0" borderId="50" xfId="0" applyBorder="1"/>
    <xf numFmtId="0" fontId="3" fillId="0" borderId="51" xfId="1" applyFont="1" applyBorder="1" applyAlignment="1">
      <alignment horizontal="center"/>
    </xf>
    <xf numFmtId="3" fontId="0" fillId="0" borderId="46" xfId="0" applyNumberFormat="1" applyBorder="1"/>
    <xf numFmtId="3" fontId="0" fillId="0" borderId="45" xfId="0" applyNumberFormat="1" applyBorder="1"/>
    <xf numFmtId="168" fontId="5" fillId="0" borderId="52" xfId="62" applyNumberFormat="1" applyFont="1" applyBorder="1"/>
    <xf numFmtId="0" fontId="3" fillId="0" borderId="4" xfId="1" applyFont="1" applyBorder="1" applyAlignment="1">
      <alignment horizontal="center"/>
    </xf>
    <xf numFmtId="2" fontId="19" fillId="0" borderId="0" xfId="0" applyNumberFormat="1" applyFont="1" applyFill="1"/>
    <xf numFmtId="0" fontId="44" fillId="0" borderId="21" xfId="0" applyFont="1" applyBorder="1" applyAlignment="1">
      <alignment horizontal="center" vertical="center" wrapText="1"/>
    </xf>
    <xf numFmtId="0" fontId="44" fillId="0" borderId="23" xfId="0" applyFont="1" applyBorder="1" applyAlignment="1">
      <alignment horizontal="center" vertical="center" wrapText="1"/>
    </xf>
    <xf numFmtId="0" fontId="44" fillId="0" borderId="17" xfId="0" applyFont="1" applyBorder="1" applyAlignment="1">
      <alignment horizontal="center" wrapText="1"/>
    </xf>
    <xf numFmtId="3" fontId="5" fillId="8" borderId="17" xfId="0" applyNumberFormat="1" applyFont="1" applyFill="1" applyBorder="1" applyAlignment="1">
      <alignment horizontal="center"/>
    </xf>
    <xf numFmtId="3" fontId="17" fillId="8" borderId="15" xfId="0" applyNumberFormat="1" applyFont="1" applyFill="1" applyBorder="1"/>
    <xf numFmtId="3" fontId="5" fillId="0" borderId="21" xfId="0" applyNumberFormat="1" applyFont="1" applyBorder="1" applyAlignment="1">
      <alignment horizontal="center"/>
    </xf>
    <xf numFmtId="3" fontId="45" fillId="7" borderId="17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vertical="center"/>
    </xf>
    <xf numFmtId="0" fontId="17" fillId="0" borderId="15" xfId="0" applyFont="1" applyFill="1" applyBorder="1" applyAlignment="1">
      <alignment vertical="center"/>
    </xf>
    <xf numFmtId="0" fontId="17" fillId="0" borderId="44" xfId="0" applyFont="1" applyFill="1" applyBorder="1" applyAlignment="1">
      <alignment vertical="center"/>
    </xf>
    <xf numFmtId="3" fontId="5" fillId="0" borderId="44" xfId="0" applyNumberFormat="1" applyFont="1" applyFill="1" applyBorder="1" applyAlignment="1">
      <alignment horizontal="right"/>
    </xf>
    <xf numFmtId="3" fontId="5" fillId="0" borderId="11" xfId="0" applyNumberFormat="1" applyFont="1" applyBorder="1"/>
    <xf numFmtId="0" fontId="17" fillId="0" borderId="0" xfId="0" applyFont="1" applyBorder="1"/>
    <xf numFmtId="3" fontId="5" fillId="0" borderId="0" xfId="0" applyNumberFormat="1" applyFont="1" applyFill="1"/>
    <xf numFmtId="0" fontId="1" fillId="3" borderId="18" xfId="0" applyFont="1" applyFill="1" applyBorder="1"/>
    <xf numFmtId="0" fontId="3" fillId="3" borderId="19" xfId="1" applyFont="1" applyFill="1" applyBorder="1" applyAlignment="1">
      <alignment horizontal="center"/>
    </xf>
    <xf numFmtId="3" fontId="1" fillId="3" borderId="15" xfId="0" applyNumberFormat="1" applyFont="1" applyFill="1" applyBorder="1"/>
    <xf numFmtId="3" fontId="1" fillId="3" borderId="19" xfId="0" applyNumberFormat="1" applyFont="1" applyFill="1" applyBorder="1"/>
    <xf numFmtId="3" fontId="42" fillId="0" borderId="26" xfId="0" applyNumberFormat="1" applyFont="1" applyFill="1" applyBorder="1"/>
    <xf numFmtId="3" fontId="40" fillId="0" borderId="36" xfId="0" applyNumberFormat="1" applyFont="1" applyFill="1" applyBorder="1"/>
    <xf numFmtId="3" fontId="0" fillId="0" borderId="51" xfId="0" applyNumberFormat="1" applyFill="1" applyBorder="1"/>
    <xf numFmtId="0" fontId="6" fillId="0" borderId="0" xfId="0" applyFont="1"/>
    <xf numFmtId="3" fontId="17" fillId="3" borderId="2" xfId="0" applyNumberFormat="1" applyFont="1" applyFill="1" applyBorder="1"/>
    <xf numFmtId="0" fontId="5" fillId="0" borderId="0" xfId="0" applyFont="1" applyBorder="1"/>
    <xf numFmtId="167" fontId="0" fillId="0" borderId="0" xfId="0" applyNumberFormat="1"/>
    <xf numFmtId="3" fontId="40" fillId="2" borderId="2" xfId="0" applyNumberFormat="1" applyFont="1" applyFill="1" applyBorder="1"/>
    <xf numFmtId="3" fontId="1" fillId="41" borderId="15" xfId="0" applyNumberFormat="1" applyFont="1" applyFill="1" applyBorder="1" applyAlignment="1">
      <alignment horizontal="right"/>
    </xf>
    <xf numFmtId="3" fontId="1" fillId="41" borderId="10" xfId="0" applyNumberFormat="1" applyFont="1" applyFill="1" applyBorder="1" applyAlignment="1">
      <alignment horizontal="right"/>
    </xf>
    <xf numFmtId="3" fontId="0" fillId="41" borderId="2" xfId="0" applyNumberFormat="1" applyFill="1" applyBorder="1" applyAlignment="1">
      <alignment horizontal="right"/>
    </xf>
    <xf numFmtId="3" fontId="0" fillId="41" borderId="32" xfId="0" applyNumberFormat="1" applyFill="1" applyBorder="1" applyAlignment="1">
      <alignment horizontal="right"/>
    </xf>
    <xf numFmtId="3" fontId="0" fillId="41" borderId="1" xfId="0" applyNumberFormat="1" applyFill="1" applyBorder="1" applyAlignment="1">
      <alignment horizontal="right"/>
    </xf>
    <xf numFmtId="3" fontId="17" fillId="0" borderId="79" xfId="0" applyNumberFormat="1" applyFont="1" applyFill="1" applyBorder="1"/>
    <xf numFmtId="3" fontId="17" fillId="3" borderId="19" xfId="0" applyNumberFormat="1" applyFont="1" applyFill="1" applyBorder="1"/>
    <xf numFmtId="3" fontId="17" fillId="0" borderId="9" xfId="0" applyNumberFormat="1" applyFont="1" applyBorder="1" applyAlignment="1">
      <alignment horizontal="center"/>
    </xf>
    <xf numFmtId="3" fontId="17" fillId="0" borderId="43" xfId="0" applyNumberFormat="1" applyFont="1" applyFill="1" applyBorder="1"/>
    <xf numFmtId="3" fontId="17" fillId="0" borderId="70" xfId="0" applyNumberFormat="1" applyFont="1" applyFill="1" applyBorder="1"/>
    <xf numFmtId="3" fontId="17" fillId="0" borderId="8" xfId="0" applyNumberFormat="1" applyFont="1" applyFill="1" applyBorder="1"/>
    <xf numFmtId="3" fontId="17" fillId="0" borderId="9" xfId="0" applyNumberFormat="1" applyFont="1" applyFill="1" applyBorder="1"/>
    <xf numFmtId="3" fontId="17" fillId="3" borderId="10" xfId="0" applyNumberFormat="1" applyFont="1" applyFill="1" applyBorder="1"/>
    <xf numFmtId="3" fontId="5" fillId="0" borderId="3" xfId="0" applyNumberFormat="1" applyFont="1" applyFill="1" applyBorder="1"/>
    <xf numFmtId="3" fontId="5" fillId="0" borderId="34" xfId="0" applyNumberFormat="1" applyFont="1" applyFill="1" applyBorder="1"/>
    <xf numFmtId="3" fontId="5" fillId="3" borderId="1" xfId="0" applyNumberFormat="1" applyFont="1" applyFill="1" applyBorder="1"/>
    <xf numFmtId="0" fontId="0" fillId="0" borderId="0" xfId="0" applyBorder="1"/>
    <xf numFmtId="1" fontId="0" fillId="0" borderId="0" xfId="0" applyNumberFormat="1" applyBorder="1"/>
    <xf numFmtId="3" fontId="40" fillId="0" borderId="44" xfId="0" applyNumberFormat="1" applyFont="1" applyFill="1" applyBorder="1"/>
    <xf numFmtId="3" fontId="40" fillId="0" borderId="43" xfId="0" applyNumberFormat="1" applyFont="1" applyFill="1" applyBorder="1"/>
    <xf numFmtId="3" fontId="5" fillId="0" borderId="27" xfId="0" applyNumberFormat="1" applyFont="1" applyBorder="1" applyAlignment="1">
      <alignment horizontal="left"/>
    </xf>
    <xf numFmtId="0" fontId="0" fillId="0" borderId="28" xfId="0" applyBorder="1"/>
    <xf numFmtId="0" fontId="5" fillId="0" borderId="29" xfId="0" applyFont="1" applyBorder="1"/>
    <xf numFmtId="4" fontId="5" fillId="0" borderId="24" xfId="0" applyNumberFormat="1" applyFont="1" applyBorder="1"/>
    <xf numFmtId="0" fontId="0" fillId="0" borderId="31" xfId="0" applyBorder="1"/>
    <xf numFmtId="0" fontId="5" fillId="0" borderId="23" xfId="0" applyFont="1" applyBorder="1"/>
    <xf numFmtId="0" fontId="0" fillId="0" borderId="27" xfId="0" applyBorder="1"/>
    <xf numFmtId="3" fontId="0" fillId="0" borderId="28" xfId="0" applyNumberFormat="1" applyBorder="1"/>
    <xf numFmtId="0" fontId="5" fillId="0" borderId="28" xfId="0" applyFont="1" applyBorder="1"/>
    <xf numFmtId="0" fontId="0" fillId="0" borderId="29" xfId="0" applyBorder="1"/>
    <xf numFmtId="0" fontId="0" fillId="0" borderId="30" xfId="0" applyBorder="1"/>
    <xf numFmtId="3" fontId="0" fillId="0" borderId="24" xfId="0" applyNumberFormat="1" applyBorder="1"/>
    <xf numFmtId="0" fontId="0" fillId="2" borderId="31" xfId="0" applyFill="1" applyBorder="1"/>
    <xf numFmtId="10" fontId="0" fillId="2" borderId="31" xfId="0" applyNumberFormat="1" applyFill="1" applyBorder="1"/>
    <xf numFmtId="0" fontId="46" fillId="0" borderId="0" xfId="0" applyFont="1" applyAlignment="1">
      <alignment vertical="center"/>
    </xf>
    <xf numFmtId="10" fontId="46" fillId="0" borderId="0" xfId="0" applyNumberFormat="1" applyFont="1" applyAlignment="1">
      <alignment vertical="center"/>
    </xf>
    <xf numFmtId="3" fontId="40" fillId="0" borderId="21" xfId="0" applyNumberFormat="1" applyFont="1" applyFill="1" applyBorder="1"/>
    <xf numFmtId="0" fontId="0" fillId="0" borderId="0" xfId="0" applyFill="1"/>
    <xf numFmtId="3" fontId="40" fillId="0" borderId="71" xfId="0" applyNumberFormat="1" applyFont="1" applyBorder="1"/>
    <xf numFmtId="0" fontId="40" fillId="0" borderId="36" xfId="0" applyFont="1" applyBorder="1"/>
    <xf numFmtId="0" fontId="40" fillId="0" borderId="26" xfId="0" applyFont="1" applyBorder="1"/>
    <xf numFmtId="0" fontId="47" fillId="0" borderId="0" xfId="0" applyFont="1"/>
    <xf numFmtId="0" fontId="39" fillId="0" borderId="0" xfId="0" applyFont="1"/>
    <xf numFmtId="0" fontId="16" fillId="0" borderId="30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3" fontId="1" fillId="6" borderId="16" xfId="0" applyNumberFormat="1" applyFont="1" applyFill="1" applyBorder="1"/>
    <xf numFmtId="3" fontId="1" fillId="8" borderId="16" xfId="0" applyNumberFormat="1" applyFont="1" applyFill="1" applyBorder="1"/>
    <xf numFmtId="3" fontId="1" fillId="7" borderId="16" xfId="0" applyNumberFormat="1" applyFont="1" applyFill="1" applyBorder="1"/>
    <xf numFmtId="3" fontId="0" fillId="6" borderId="15" xfId="0" applyNumberFormat="1" applyFill="1" applyBorder="1" applyAlignment="1">
      <alignment wrapText="1"/>
    </xf>
    <xf numFmtId="4" fontId="5" fillId="0" borderId="30" xfId="0" applyNumberFormat="1" applyFont="1" applyBorder="1"/>
    <xf numFmtId="0" fontId="5" fillId="0" borderId="24" xfId="0" applyFont="1" applyBorder="1"/>
    <xf numFmtId="0" fontId="0" fillId="0" borderId="15" xfId="0" applyFill="1" applyBorder="1" applyAlignment="1">
      <alignment horizontal="center"/>
    </xf>
    <xf numFmtId="3" fontId="19" fillId="0" borderId="15" xfId="0" applyNumberFormat="1" applyFont="1" applyFill="1" applyBorder="1"/>
    <xf numFmtId="0" fontId="48" fillId="0" borderId="0" xfId="0" applyFont="1"/>
    <xf numFmtId="3" fontId="0" fillId="0" borderId="21" xfId="0" applyNumberFormat="1" applyFill="1" applyBorder="1"/>
    <xf numFmtId="3" fontId="0" fillId="2" borderId="17" xfId="0" applyNumberFormat="1" applyFill="1" applyBorder="1" applyAlignment="1">
      <alignment horizontal="right"/>
    </xf>
    <xf numFmtId="3" fontId="0" fillId="0" borderId="37" xfId="0" applyNumberFormat="1" applyFill="1" applyBorder="1"/>
    <xf numFmtId="0" fontId="49" fillId="3" borderId="32" xfId="1" applyFont="1" applyFill="1" applyBorder="1" applyAlignment="1">
      <alignment horizontal="center"/>
    </xf>
    <xf numFmtId="0" fontId="49" fillId="0" borderId="33" xfId="1" applyFont="1" applyBorder="1" applyAlignment="1">
      <alignment horizontal="center"/>
    </xf>
    <xf numFmtId="0" fontId="49" fillId="0" borderId="33" xfId="1" applyFont="1" applyFill="1" applyBorder="1" applyAlignment="1">
      <alignment horizontal="center"/>
    </xf>
    <xf numFmtId="0" fontId="49" fillId="0" borderId="47" xfId="1" applyFont="1" applyBorder="1" applyAlignment="1">
      <alignment horizontal="center"/>
    </xf>
    <xf numFmtId="0" fontId="49" fillId="0" borderId="35" xfId="1" applyFont="1" applyBorder="1" applyAlignment="1">
      <alignment horizontal="center"/>
    </xf>
    <xf numFmtId="0" fontId="1" fillId="0" borderId="3" xfId="0" applyFont="1" applyBorder="1"/>
    <xf numFmtId="0" fontId="0" fillId="3" borderId="33" xfId="0" applyFill="1" applyBorder="1"/>
    <xf numFmtId="3" fontId="0" fillId="3" borderId="33" xfId="0" applyNumberFormat="1" applyFill="1" applyBorder="1"/>
    <xf numFmtId="0" fontId="16" fillId="0" borderId="3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3" fontId="0" fillId="0" borderId="8" xfId="0" applyNumberFormat="1" applyBorder="1"/>
    <xf numFmtId="168" fontId="0" fillId="0" borderId="6" xfId="62" applyNumberFormat="1" applyFont="1" applyBorder="1"/>
    <xf numFmtId="0" fontId="1" fillId="0" borderId="26" xfId="0" applyFont="1" applyBorder="1"/>
    <xf numFmtId="168" fontId="0" fillId="0" borderId="9" xfId="62" applyNumberFormat="1" applyFont="1" applyBorder="1"/>
    <xf numFmtId="168" fontId="0" fillId="0" borderId="8" xfId="62" applyNumberFormat="1" applyFont="1" applyBorder="1"/>
    <xf numFmtId="3" fontId="5" fillId="0" borderId="8" xfId="0" applyNumberFormat="1" applyFont="1" applyFill="1" applyBorder="1"/>
    <xf numFmtId="3" fontId="0" fillId="0" borderId="3" xfId="0" applyNumberFormat="1" applyFill="1" applyBorder="1"/>
    <xf numFmtId="0" fontId="0" fillId="3" borderId="35" xfId="0" applyFill="1" applyBorder="1"/>
    <xf numFmtId="0" fontId="5" fillId="0" borderId="0" xfId="0" applyFont="1" applyFill="1" applyBorder="1"/>
    <xf numFmtId="3" fontId="0" fillId="0" borderId="5" xfId="0" applyNumberFormat="1" applyFill="1" applyBorder="1"/>
    <xf numFmtId="0" fontId="0" fillId="3" borderId="0" xfId="0" applyFill="1" applyBorder="1"/>
    <xf numFmtId="0" fontId="0" fillId="0" borderId="9" xfId="0" applyBorder="1"/>
    <xf numFmtId="0" fontId="0" fillId="0" borderId="70" xfId="0" applyBorder="1"/>
    <xf numFmtId="0" fontId="0" fillId="0" borderId="10" xfId="0" applyBorder="1"/>
    <xf numFmtId="3" fontId="0" fillId="0" borderId="10" xfId="0" applyNumberFormat="1" applyBorder="1"/>
    <xf numFmtId="3" fontId="0" fillId="0" borderId="42" xfId="0" applyNumberFormat="1" applyFill="1" applyBorder="1"/>
    <xf numFmtId="0" fontId="1" fillId="0" borderId="42" xfId="0" applyFont="1" applyBorder="1"/>
    <xf numFmtId="0" fontId="1" fillId="0" borderId="43" xfId="0" applyFont="1" applyBorder="1"/>
    <xf numFmtId="0" fontId="1" fillId="0" borderId="43" xfId="0" applyFont="1" applyFill="1" applyBorder="1"/>
    <xf numFmtId="0" fontId="1" fillId="0" borderId="43" xfId="0" applyFont="1" applyFill="1" applyBorder="1" applyAlignment="1">
      <alignment horizontal="right"/>
    </xf>
    <xf numFmtId="0" fontId="1" fillId="0" borderId="44" xfId="0" applyFont="1" applyFill="1" applyBorder="1"/>
    <xf numFmtId="0" fontId="0" fillId="0" borderId="43" xfId="0" applyFill="1" applyBorder="1"/>
    <xf numFmtId="0" fontId="0" fillId="0" borderId="44" xfId="0" applyFill="1" applyBorder="1"/>
    <xf numFmtId="3" fontId="0" fillId="0" borderId="1" xfId="0" applyNumberFormat="1" applyFill="1" applyBorder="1"/>
    <xf numFmtId="3" fontId="0" fillId="0" borderId="3" xfId="0" applyNumberFormat="1" applyBorder="1"/>
    <xf numFmtId="0" fontId="0" fillId="3" borderId="22" xfId="0" applyFill="1" applyBorder="1"/>
    <xf numFmtId="3" fontId="0" fillId="3" borderId="22" xfId="0" applyNumberFormat="1" applyFill="1" applyBorder="1"/>
    <xf numFmtId="0" fontId="0" fillId="3" borderId="80" xfId="0" applyFill="1" applyBorder="1"/>
    <xf numFmtId="0" fontId="0" fillId="3" borderId="38" xfId="0" applyFill="1" applyBorder="1"/>
    <xf numFmtId="3" fontId="0" fillId="3" borderId="68" xfId="0" applyNumberFormat="1" applyFill="1" applyBorder="1"/>
    <xf numFmtId="0" fontId="0" fillId="0" borderId="46" xfId="0" applyBorder="1"/>
    <xf numFmtId="0" fontId="1" fillId="0" borderId="42" xfId="0" applyFont="1" applyBorder="1" applyAlignment="1">
      <alignment horizontal="center" wrapText="1"/>
    </xf>
    <xf numFmtId="0" fontId="0" fillId="0" borderId="16" xfId="0" applyFont="1" applyBorder="1" applyAlignment="1">
      <alignment horizontal="center" wrapText="1"/>
    </xf>
    <xf numFmtId="0" fontId="0" fillId="0" borderId="18" xfId="0" applyFont="1" applyBorder="1" applyAlignment="1">
      <alignment horizontal="center" wrapText="1"/>
    </xf>
    <xf numFmtId="0" fontId="0" fillId="0" borderId="19" xfId="0" applyFont="1" applyBorder="1" applyAlignment="1">
      <alignment horizontal="center" wrapText="1"/>
    </xf>
    <xf numFmtId="0" fontId="0" fillId="3" borderId="67" xfId="0" applyFont="1" applyFill="1" applyBorder="1" applyAlignment="1">
      <alignment horizontal="center"/>
    </xf>
    <xf numFmtId="0" fontId="0" fillId="3" borderId="74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46" xfId="0" applyFont="1" applyFill="1" applyBorder="1"/>
    <xf numFmtId="0" fontId="1" fillId="2" borderId="9" xfId="0" applyFont="1" applyFill="1" applyBorder="1"/>
    <xf numFmtId="9" fontId="1" fillId="2" borderId="9" xfId="70" applyFont="1" applyFill="1" applyBorder="1"/>
    <xf numFmtId="9" fontId="1" fillId="2" borderId="70" xfId="70" applyFont="1" applyFill="1" applyBorder="1"/>
    <xf numFmtId="9" fontId="1" fillId="2" borderId="10" xfId="70" applyFont="1" applyFill="1" applyBorder="1"/>
    <xf numFmtId="9" fontId="1" fillId="2" borderId="8" xfId="70" applyFont="1" applyFill="1" applyBorder="1"/>
    <xf numFmtId="9" fontId="1" fillId="2" borderId="46" xfId="70" applyFont="1" applyFill="1" applyBorder="1"/>
    <xf numFmtId="9" fontId="1" fillId="0" borderId="0" xfId="70" applyFont="1"/>
    <xf numFmtId="0" fontId="0" fillId="3" borderId="18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1" fillId="2" borderId="42" xfId="0" applyFont="1" applyFill="1" applyBorder="1" applyAlignment="1">
      <alignment horizontal="centerContinuous" vertical="center" wrapText="1"/>
    </xf>
    <xf numFmtId="0" fontId="1" fillId="2" borderId="42" xfId="0" applyFont="1" applyFill="1" applyBorder="1" applyAlignment="1">
      <alignment horizontal="center" wrapText="1"/>
    </xf>
    <xf numFmtId="0" fontId="1" fillId="0" borderId="1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wrapText="1"/>
    </xf>
    <xf numFmtId="3" fontId="0" fillId="0" borderId="15" xfId="0" applyNumberFormat="1" applyBorder="1" applyAlignment="1">
      <alignment horizontal="center"/>
    </xf>
    <xf numFmtId="3" fontId="0" fillId="0" borderId="15" xfId="0" applyNumberFormat="1" applyFill="1" applyBorder="1" applyAlignment="1">
      <alignment horizontal="center"/>
    </xf>
    <xf numFmtId="3" fontId="0" fillId="7" borderId="15" xfId="0" applyNumberFormat="1" applyFill="1" applyBorder="1" applyAlignment="1">
      <alignment horizontal="center"/>
    </xf>
    <xf numFmtId="3" fontId="0" fillId="41" borderId="15" xfId="0" applyNumberFormat="1" applyFill="1" applyBorder="1" applyAlignment="1">
      <alignment horizontal="right"/>
    </xf>
    <xf numFmtId="3" fontId="0" fillId="2" borderId="26" xfId="0" applyNumberFormat="1" applyFill="1" applyBorder="1" applyAlignment="1">
      <alignment horizontal="right"/>
    </xf>
    <xf numFmtId="3" fontId="0" fillId="2" borderId="24" xfId="0" applyNumberFormat="1" applyFill="1" applyBorder="1" applyAlignment="1">
      <alignment horizontal="right"/>
    </xf>
    <xf numFmtId="170" fontId="5" fillId="8" borderId="17" xfId="0" applyNumberFormat="1" applyFont="1" applyFill="1" applyBorder="1" applyAlignment="1">
      <alignment horizontal="right"/>
    </xf>
    <xf numFmtId="170" fontId="5" fillId="7" borderId="17" xfId="0" applyNumberFormat="1" applyFont="1" applyFill="1" applyBorder="1" applyAlignment="1">
      <alignment horizontal="right" vertical="center" wrapText="1"/>
    </xf>
    <xf numFmtId="3" fontId="0" fillId="41" borderId="81" xfId="0" applyNumberFormat="1" applyFill="1" applyBorder="1" applyAlignment="1">
      <alignment horizontal="right"/>
    </xf>
    <xf numFmtId="3" fontId="5" fillId="0" borderId="15" xfId="0" applyNumberFormat="1" applyFont="1" applyFill="1" applyBorder="1"/>
    <xf numFmtId="1" fontId="5" fillId="0" borderId="15" xfId="0" applyNumberFormat="1" applyFont="1" applyFill="1" applyBorder="1" applyAlignment="1">
      <alignment vertical="center"/>
    </xf>
    <xf numFmtId="168" fontId="1" fillId="0" borderId="9" xfId="62" applyNumberFormat="1" applyFont="1" applyFill="1" applyBorder="1"/>
    <xf numFmtId="3" fontId="0" fillId="42" borderId="3" xfId="0" applyNumberFormat="1" applyFill="1" applyBorder="1" applyAlignment="1">
      <alignment horizontal="right"/>
    </xf>
    <xf numFmtId="3" fontId="0" fillId="42" borderId="4" xfId="0" applyNumberFormat="1" applyFill="1" applyBorder="1" applyAlignment="1">
      <alignment horizontal="right"/>
    </xf>
    <xf numFmtId="0" fontId="0" fillId="42" borderId="3" xfId="0" applyFill="1" applyBorder="1" applyAlignment="1">
      <alignment horizontal="center"/>
    </xf>
    <xf numFmtId="0" fontId="0" fillId="42" borderId="4" xfId="0" applyFill="1" applyBorder="1" applyAlignment="1">
      <alignment horizontal="center"/>
    </xf>
    <xf numFmtId="10" fontId="0" fillId="42" borderId="3" xfId="0" applyNumberFormat="1" applyFill="1" applyBorder="1"/>
    <xf numFmtId="10" fontId="0" fillId="42" borderId="4" xfId="0" applyNumberFormat="1" applyFill="1" applyBorder="1"/>
    <xf numFmtId="3" fontId="1" fillId="42" borderId="3" xfId="0" applyNumberFormat="1" applyFont="1" applyFill="1" applyBorder="1" applyAlignment="1">
      <alignment horizontal="right"/>
    </xf>
    <xf numFmtId="3" fontId="1" fillId="42" borderId="4" xfId="0" applyNumberFormat="1" applyFont="1" applyFill="1" applyBorder="1" applyAlignment="1">
      <alignment horizontal="right"/>
    </xf>
    <xf numFmtId="10" fontId="0" fillId="42" borderId="3" xfId="0" applyNumberFormat="1" applyFill="1" applyBorder="1" applyAlignment="1">
      <alignment horizontal="right"/>
    </xf>
    <xf numFmtId="10" fontId="0" fillId="42" borderId="4" xfId="0" applyNumberFormat="1" applyFill="1" applyBorder="1" applyAlignment="1">
      <alignment horizontal="right"/>
    </xf>
    <xf numFmtId="0" fontId="0" fillId="42" borderId="3" xfId="0" applyFill="1" applyBorder="1" applyAlignment="1">
      <alignment horizontal="right"/>
    </xf>
    <xf numFmtId="0" fontId="0" fillId="42" borderId="4" xfId="0" applyFill="1" applyBorder="1" applyAlignment="1">
      <alignment horizontal="right"/>
    </xf>
    <xf numFmtId="0" fontId="0" fillId="42" borderId="20" xfId="0" applyFill="1" applyBorder="1" applyAlignment="1">
      <alignment horizontal="center"/>
    </xf>
    <xf numFmtId="0" fontId="0" fillId="42" borderId="65" xfId="0" applyFill="1" applyBorder="1" applyAlignment="1">
      <alignment horizontal="center"/>
    </xf>
    <xf numFmtId="10" fontId="19" fillId="42" borderId="20" xfId="0" applyNumberFormat="1" applyFont="1" applyFill="1" applyBorder="1"/>
    <xf numFmtId="10" fontId="19" fillId="42" borderId="65" xfId="0" applyNumberFormat="1" applyFont="1" applyFill="1" applyBorder="1"/>
    <xf numFmtId="3" fontId="19" fillId="42" borderId="20" xfId="0" applyNumberFormat="1" applyFont="1" applyFill="1" applyBorder="1"/>
    <xf numFmtId="3" fontId="1" fillId="42" borderId="1" xfId="0" applyNumberFormat="1" applyFont="1" applyFill="1" applyBorder="1"/>
    <xf numFmtId="3" fontId="1" fillId="42" borderId="2" xfId="0" applyNumberFormat="1" applyFont="1" applyFill="1" applyBorder="1"/>
    <xf numFmtId="3" fontId="0" fillId="42" borderId="3" xfId="0" applyNumberFormat="1" applyFill="1" applyBorder="1"/>
    <xf numFmtId="3" fontId="0" fillId="42" borderId="4" xfId="0" applyNumberFormat="1" applyFill="1" applyBorder="1"/>
    <xf numFmtId="3" fontId="0" fillId="42" borderId="5" xfId="0" applyNumberFormat="1" applyFill="1" applyBorder="1"/>
    <xf numFmtId="3" fontId="0" fillId="42" borderId="6" xfId="0" applyNumberFormat="1" applyFill="1" applyBorder="1"/>
    <xf numFmtId="3" fontId="0" fillId="42" borderId="1" xfId="0" applyNumberFormat="1" applyFont="1" applyFill="1" applyBorder="1"/>
    <xf numFmtId="3" fontId="0" fillId="42" borderId="2" xfId="0" applyNumberFormat="1" applyFont="1" applyFill="1" applyBorder="1"/>
    <xf numFmtId="3" fontId="0" fillId="42" borderId="22" xfId="0" applyNumberFormat="1" applyFill="1" applyBorder="1"/>
    <xf numFmtId="3" fontId="0" fillId="42" borderId="68" xfId="0" applyNumberFormat="1" applyFill="1" applyBorder="1"/>
    <xf numFmtId="0" fontId="0" fillId="0" borderId="0" xfId="0" applyFill="1"/>
    <xf numFmtId="0" fontId="0" fillId="0" borderId="0" xfId="0" applyFont="1" applyFill="1" applyBorder="1"/>
    <xf numFmtId="3" fontId="1" fillId="0" borderId="0" xfId="0" applyNumberFormat="1" applyFont="1"/>
    <xf numFmtId="0" fontId="1" fillId="0" borderId="0" xfId="0" applyFont="1"/>
    <xf numFmtId="3" fontId="0" fillId="0" borderId="0" xfId="0" applyNumberFormat="1" applyFill="1" applyBorder="1"/>
    <xf numFmtId="3" fontId="1" fillId="0" borderId="0" xfId="0" applyNumberFormat="1" applyFont="1" applyFill="1" applyBorder="1"/>
    <xf numFmtId="3" fontId="0" fillId="42" borderId="1" xfId="0" applyNumberFormat="1" applyFill="1" applyBorder="1"/>
    <xf numFmtId="3" fontId="0" fillId="42" borderId="2" xfId="0" applyNumberFormat="1" applyFill="1" applyBorder="1"/>
    <xf numFmtId="3" fontId="1" fillId="2" borderId="0" xfId="0" applyNumberFormat="1" applyFont="1" applyFill="1"/>
    <xf numFmtId="3" fontId="0" fillId="2" borderId="0" xfId="0" applyNumberFormat="1" applyFont="1" applyFill="1"/>
    <xf numFmtId="3" fontId="1" fillId="2" borderId="0" xfId="0" applyNumberFormat="1" applyFont="1" applyFill="1" applyBorder="1"/>
    <xf numFmtId="3" fontId="17" fillId="2" borderId="0" xfId="0" applyNumberFormat="1" applyFont="1" applyFill="1" applyBorder="1"/>
    <xf numFmtId="3" fontId="0" fillId="0" borderId="15" xfId="0" applyNumberFormat="1" applyFont="1" applyFill="1" applyBorder="1"/>
    <xf numFmtId="3" fontId="0" fillId="0" borderId="82" xfId="0" applyNumberFormat="1" applyFont="1" applyFill="1" applyBorder="1"/>
    <xf numFmtId="0" fontId="5" fillId="0" borderId="82" xfId="0" applyFont="1" applyFill="1" applyBorder="1"/>
    <xf numFmtId="0" fontId="1" fillId="0" borderId="0" xfId="0" applyFont="1" applyFill="1" applyBorder="1"/>
    <xf numFmtId="0" fontId="1" fillId="2" borderId="0" xfId="0" applyFont="1" applyFill="1"/>
    <xf numFmtId="0" fontId="0" fillId="2" borderId="0" xfId="0" applyFont="1" applyFill="1"/>
    <xf numFmtId="0" fontId="0" fillId="2" borderId="0" xfId="0" applyFill="1"/>
    <xf numFmtId="0" fontId="5" fillId="2" borderId="0" xfId="0" applyFont="1" applyFill="1"/>
    <xf numFmtId="0" fontId="0" fillId="0" borderId="37" xfId="0" applyFont="1" applyBorder="1"/>
    <xf numFmtId="0" fontId="5" fillId="0" borderId="37" xfId="0" applyFont="1" applyFill="1" applyBorder="1"/>
    <xf numFmtId="3" fontId="0" fillId="0" borderId="37" xfId="0" applyNumberFormat="1" applyBorder="1" applyAlignment="1"/>
    <xf numFmtId="0" fontId="0" fillId="0" borderId="37" xfId="0" applyFont="1" applyFill="1" applyBorder="1"/>
    <xf numFmtId="3" fontId="0" fillId="0" borderId="0" xfId="0" applyNumberFormat="1" applyFont="1" applyFill="1" applyBorder="1"/>
    <xf numFmtId="3" fontId="1" fillId="0" borderId="78" xfId="0" applyNumberFormat="1" applyFont="1" applyFill="1" applyBorder="1" applyAlignment="1"/>
    <xf numFmtId="0" fontId="1" fillId="2" borderId="0" xfId="0" applyFont="1" applyFill="1" applyBorder="1"/>
    <xf numFmtId="0" fontId="0" fillId="2" borderId="0" xfId="0" applyFont="1" applyFill="1" applyBorder="1"/>
    <xf numFmtId="3" fontId="0" fillId="2" borderId="0" xfId="0" applyNumberFormat="1" applyFont="1" applyFill="1" applyBorder="1"/>
    <xf numFmtId="0" fontId="5" fillId="2" borderId="0" xfId="0" applyFont="1" applyFill="1" applyBorder="1"/>
    <xf numFmtId="3" fontId="0" fillId="2" borderId="0" xfId="0" applyNumberForma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3" fontId="1" fillId="0" borderId="37" xfId="0" applyNumberFormat="1" applyFont="1" applyBorder="1" applyAlignment="1"/>
    <xf numFmtId="0" fontId="0" fillId="0" borderId="0" xfId="0" applyFont="1" applyFill="1" applyBorder="1" applyAlignment="1">
      <alignment horizontal="right"/>
    </xf>
    <xf numFmtId="3" fontId="0" fillId="0" borderId="0" xfId="0" applyNumberFormat="1" applyFill="1" applyBorder="1" applyAlignment="1"/>
    <xf numFmtId="3" fontId="1" fillId="0" borderId="0" xfId="0" applyNumberFormat="1" applyFont="1" applyFill="1" applyBorder="1" applyAlignment="1"/>
    <xf numFmtId="0" fontId="1" fillId="2" borderId="0" xfId="0" applyFont="1" applyFill="1" applyBorder="1" applyAlignment="1">
      <alignment horizontal="right"/>
    </xf>
    <xf numFmtId="3" fontId="0" fillId="2" borderId="0" xfId="0" applyNumberFormat="1" applyFill="1" applyBorder="1" applyAlignment="1"/>
    <xf numFmtId="3" fontId="1" fillId="2" borderId="0" xfId="0" applyNumberFormat="1" applyFont="1" applyFill="1" applyBorder="1" applyAlignment="1"/>
    <xf numFmtId="0" fontId="1" fillId="0" borderId="0" xfId="0" applyFont="1" applyBorder="1"/>
    <xf numFmtId="0" fontId="1" fillId="43" borderId="0" xfId="0" applyFont="1" applyFill="1"/>
    <xf numFmtId="0" fontId="0" fillId="43" borderId="0" xfId="0" applyFill="1"/>
    <xf numFmtId="3" fontId="0" fillId="43" borderId="0" xfId="0" applyNumberFormat="1" applyFill="1"/>
    <xf numFmtId="0" fontId="5" fillId="43" borderId="0" xfId="0" applyFont="1" applyFill="1"/>
    <xf numFmtId="3" fontId="1" fillId="43" borderId="0" xfId="0" applyNumberFormat="1" applyFont="1" applyFill="1"/>
    <xf numFmtId="3" fontId="0" fillId="0" borderId="74" xfId="0" applyNumberFormat="1" applyFont="1" applyFill="1" applyBorder="1"/>
    <xf numFmtId="3" fontId="0" fillId="0" borderId="0" xfId="0" applyNumberFormat="1" applyFont="1" applyFill="1" applyBorder="1" applyAlignment="1"/>
    <xf numFmtId="3" fontId="0" fillId="42" borderId="37" xfId="0" applyNumberFormat="1" applyFont="1" applyFill="1" applyBorder="1"/>
    <xf numFmtId="3" fontId="0" fillId="2" borderId="0" xfId="0" applyNumberFormat="1" applyFill="1" applyBorder="1"/>
    <xf numFmtId="0" fontId="0" fillId="0" borderId="67" xfId="0" applyFont="1" applyFill="1" applyBorder="1"/>
    <xf numFmtId="3" fontId="5" fillId="0" borderId="82" xfId="0" applyNumberFormat="1" applyFont="1" applyFill="1" applyBorder="1"/>
    <xf numFmtId="3" fontId="0" fillId="0" borderId="19" xfId="0" applyNumberFormat="1" applyFont="1" applyFill="1" applyBorder="1"/>
    <xf numFmtId="3" fontId="8" fillId="3" borderId="22" xfId="0" applyNumberFormat="1" applyFont="1" applyFill="1" applyBorder="1"/>
    <xf numFmtId="3" fontId="0" fillId="3" borderId="69" xfId="0" applyNumberFormat="1" applyFill="1" applyBorder="1"/>
    <xf numFmtId="3" fontId="0" fillId="3" borderId="5" xfId="0" applyNumberFormat="1" applyFill="1" applyBorder="1"/>
    <xf numFmtId="3" fontId="0" fillId="0" borderId="37" xfId="0" applyNumberFormat="1" applyFont="1" applyFill="1" applyBorder="1" applyAlignment="1">
      <alignment horizontal="right"/>
    </xf>
    <xf numFmtId="3" fontId="0" fillId="0" borderId="37" xfId="0" applyNumberFormat="1" applyFont="1" applyFill="1" applyBorder="1"/>
    <xf numFmtId="9" fontId="17" fillId="0" borderId="0" xfId="70" applyFont="1"/>
    <xf numFmtId="0" fontId="0" fillId="0" borderId="15" xfId="0" applyFill="1" applyBorder="1"/>
    <xf numFmtId="0" fontId="1" fillId="0" borderId="15" xfId="0" applyFont="1" applyFill="1" applyBorder="1"/>
    <xf numFmtId="3" fontId="0" fillId="0" borderId="30" xfId="0" applyNumberFormat="1" applyFont="1" applyFill="1" applyBorder="1" applyAlignment="1">
      <alignment horizontal="center"/>
    </xf>
    <xf numFmtId="3" fontId="8" fillId="0" borderId="10" xfId="0" applyNumberFormat="1" applyFont="1" applyBorder="1"/>
    <xf numFmtId="3" fontId="0" fillId="0" borderId="37" xfId="0" applyNumberFormat="1" applyBorder="1" applyAlignment="1">
      <alignment horizontal="right"/>
    </xf>
    <xf numFmtId="0" fontId="0" fillId="0" borderId="37" xfId="0" applyFont="1" applyFill="1" applyBorder="1" applyAlignment="1">
      <alignment horizontal="right"/>
    </xf>
    <xf numFmtId="0" fontId="0" fillId="0" borderId="25" xfId="0" applyFill="1" applyBorder="1" applyAlignment="1">
      <alignment horizontal="center"/>
    </xf>
    <xf numFmtId="0" fontId="37" fillId="0" borderId="30" xfId="0" applyFont="1" applyBorder="1" applyAlignment="1">
      <alignment horizontal="center" wrapText="1"/>
    </xf>
    <xf numFmtId="0" fontId="37" fillId="0" borderId="24" xfId="0" applyFont="1" applyBorder="1" applyAlignment="1">
      <alignment horizontal="center" wrapText="1"/>
    </xf>
    <xf numFmtId="3" fontId="0" fillId="6" borderId="24" xfId="0" applyNumberFormat="1" applyFill="1" applyBorder="1"/>
    <xf numFmtId="170" fontId="5" fillId="7" borderId="25" xfId="0" applyNumberFormat="1" applyFont="1" applyFill="1" applyBorder="1" applyAlignment="1">
      <alignment horizontal="right" vertical="center" wrapText="1"/>
    </xf>
    <xf numFmtId="3" fontId="0" fillId="41" borderId="42" xfId="0" applyNumberFormat="1" applyFill="1" applyBorder="1" applyAlignment="1">
      <alignment horizontal="right"/>
    </xf>
    <xf numFmtId="1" fontId="5" fillId="0" borderId="43" xfId="0" applyNumberFormat="1" applyFont="1" applyFill="1" applyBorder="1" applyAlignment="1">
      <alignment vertical="center"/>
    </xf>
    <xf numFmtId="3" fontId="0" fillId="3" borderId="14" xfId="0" applyNumberFormat="1" applyFill="1" applyBorder="1"/>
    <xf numFmtId="168" fontId="0" fillId="0" borderId="12" xfId="62" applyNumberFormat="1" applyFont="1" applyBorder="1"/>
    <xf numFmtId="168" fontId="0" fillId="0" borderId="66" xfId="62" applyNumberFormat="1" applyFont="1" applyBorder="1"/>
    <xf numFmtId="168" fontId="0" fillId="0" borderId="13" xfId="62" applyNumberFormat="1" applyFont="1" applyBorder="1"/>
    <xf numFmtId="0" fontId="0" fillId="0" borderId="25" xfId="0" applyFill="1" applyBorder="1" applyAlignment="1">
      <alignment horizontal="center" wrapText="1"/>
    </xf>
    <xf numFmtId="3" fontId="0" fillId="0" borderId="76" xfId="0" applyNumberFormat="1" applyFill="1" applyBorder="1"/>
    <xf numFmtId="3" fontId="0" fillId="0" borderId="79" xfId="0" applyNumberFormat="1" applyFill="1" applyBorder="1"/>
    <xf numFmtId="3" fontId="0" fillId="0" borderId="79" xfId="0" applyNumberFormat="1" applyBorder="1"/>
    <xf numFmtId="3" fontId="0" fillId="0" borderId="55" xfId="0" applyNumberFormat="1" applyFill="1" applyBorder="1"/>
    <xf numFmtId="0" fontId="0" fillId="0" borderId="25" xfId="0" applyFont="1" applyFill="1" applyBorder="1"/>
    <xf numFmtId="0" fontId="0" fillId="0" borderId="33" xfId="0" applyFont="1" applyBorder="1"/>
    <xf numFmtId="3" fontId="1" fillId="0" borderId="15" xfId="0" applyNumberFormat="1" applyFont="1" applyFill="1" applyBorder="1" applyAlignment="1">
      <alignment horizontal="right"/>
    </xf>
    <xf numFmtId="3" fontId="17" fillId="0" borderId="15" xfId="0" applyNumberFormat="1" applyFont="1" applyFill="1" applyBorder="1"/>
    <xf numFmtId="3" fontId="17" fillId="0" borderId="16" xfId="0" applyNumberFormat="1" applyFont="1" applyFill="1" applyBorder="1" applyAlignment="1">
      <alignment vertical="center"/>
    </xf>
    <xf numFmtId="1" fontId="17" fillId="0" borderId="15" xfId="0" applyNumberFormat="1" applyFont="1" applyFill="1" applyBorder="1" applyAlignment="1">
      <alignment vertical="center"/>
    </xf>
    <xf numFmtId="1" fontId="17" fillId="0" borderId="44" xfId="0" applyNumberFormat="1" applyFont="1" applyFill="1" applyBorder="1" applyAlignment="1">
      <alignment vertical="center"/>
    </xf>
    <xf numFmtId="3" fontId="17" fillId="0" borderId="78" xfId="0" applyNumberFormat="1" applyFont="1" applyFill="1" applyBorder="1"/>
    <xf numFmtId="3" fontId="0" fillId="0" borderId="25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3" fontId="0" fillId="0" borderId="21" xfId="0" applyNumberFormat="1" applyFill="1" applyBorder="1" applyAlignment="1">
      <alignment horizontal="center"/>
    </xf>
    <xf numFmtId="3" fontId="0" fillId="7" borderId="17" xfId="0" applyNumberFormat="1" applyFill="1" applyBorder="1" applyAlignment="1">
      <alignment horizontal="center"/>
    </xf>
    <xf numFmtId="3" fontId="0" fillId="0" borderId="44" xfId="0" applyNumberFormat="1" applyBorder="1"/>
    <xf numFmtId="3" fontId="0" fillId="0" borderId="70" xfId="0" applyNumberFormat="1" applyBorder="1"/>
    <xf numFmtId="3" fontId="0" fillId="2" borderId="15" xfId="0" applyNumberFormat="1" applyFill="1" applyBorder="1" applyAlignment="1">
      <alignment horizontal="right"/>
    </xf>
    <xf numFmtId="3" fontId="0" fillId="8" borderId="15" xfId="0" applyNumberFormat="1" applyFill="1" applyBorder="1"/>
    <xf numFmtId="3" fontId="5" fillId="0" borderId="15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horizontal="right"/>
    </xf>
    <xf numFmtId="3" fontId="5" fillId="0" borderId="70" xfId="0" applyNumberFormat="1" applyFont="1" applyFill="1" applyBorder="1"/>
    <xf numFmtId="3" fontId="5" fillId="0" borderId="46" xfId="0" applyNumberFormat="1" applyFont="1" applyFill="1" applyBorder="1"/>
    <xf numFmtId="3" fontId="1" fillId="0" borderId="76" xfId="0" applyNumberFormat="1" applyFont="1" applyFill="1" applyBorder="1"/>
    <xf numFmtId="3" fontId="1" fillId="0" borderId="79" xfId="0" applyNumberFormat="1" applyFont="1" applyFill="1" applyBorder="1"/>
    <xf numFmtId="3" fontId="1" fillId="0" borderId="79" xfId="0" applyNumberFormat="1" applyFont="1" applyBorder="1"/>
    <xf numFmtId="3" fontId="1" fillId="0" borderId="55" xfId="0" applyNumberFormat="1" applyFont="1" applyFill="1" applyBorder="1"/>
    <xf numFmtId="3" fontId="5" fillId="3" borderId="22" xfId="0" applyNumberFormat="1" applyFont="1" applyFill="1" applyBorder="1"/>
    <xf numFmtId="3" fontId="5" fillId="0" borderId="10" xfId="0" applyNumberFormat="1" applyFont="1" applyBorder="1"/>
    <xf numFmtId="3" fontId="5" fillId="0" borderId="8" xfId="0" applyNumberFormat="1" applyFont="1" applyBorder="1"/>
    <xf numFmtId="3" fontId="0" fillId="0" borderId="67" xfId="0" applyNumberFormat="1" applyFont="1" applyFill="1" applyBorder="1"/>
    <xf numFmtId="3" fontId="0" fillId="0" borderId="82" xfId="0" applyNumberFormat="1" applyFill="1" applyBorder="1"/>
    <xf numFmtId="0" fontId="1" fillId="0" borderId="37" xfId="0" applyFont="1" applyFill="1" applyBorder="1"/>
    <xf numFmtId="0" fontId="1" fillId="0" borderId="37" xfId="0" applyFont="1" applyFill="1" applyBorder="1" applyAlignment="1">
      <alignment horizontal="right"/>
    </xf>
    <xf numFmtId="0" fontId="0" fillId="0" borderId="37" xfId="0" applyFill="1" applyBorder="1"/>
    <xf numFmtId="3" fontId="0" fillId="0" borderId="37" xfId="0" applyNumberFormat="1" applyFill="1" applyBorder="1" applyAlignment="1"/>
    <xf numFmtId="3" fontId="1" fillId="0" borderId="37" xfId="0" applyNumberFormat="1" applyFont="1" applyFill="1" applyBorder="1" applyAlignment="1"/>
    <xf numFmtId="3" fontId="0" fillId="42" borderId="40" xfId="0" applyNumberFormat="1" applyFill="1" applyBorder="1"/>
    <xf numFmtId="0" fontId="53" fillId="0" borderId="0" xfId="0" applyFont="1" applyBorder="1"/>
    <xf numFmtId="3" fontId="0" fillId="0" borderId="37" xfId="0" applyNumberFormat="1" applyFont="1" applyFill="1" applyBorder="1" applyAlignment="1"/>
    <xf numFmtId="3" fontId="0" fillId="43" borderId="0" xfId="0" applyNumberFormat="1" applyFont="1" applyFill="1" applyBorder="1" applyAlignment="1"/>
    <xf numFmtId="3" fontId="5" fillId="3" borderId="34" xfId="0" applyNumberFormat="1" applyFont="1" applyFill="1" applyBorder="1"/>
    <xf numFmtId="3" fontId="0" fillId="3" borderId="7" xfId="0" applyNumberFormat="1" applyFill="1" applyBorder="1"/>
    <xf numFmtId="3" fontId="8" fillId="3" borderId="34" xfId="0" applyNumberFormat="1" applyFont="1" applyFill="1" applyBorder="1"/>
    <xf numFmtId="3" fontId="5" fillId="3" borderId="26" xfId="0" applyNumberFormat="1" applyFont="1" applyFill="1" applyBorder="1"/>
    <xf numFmtId="3" fontId="0" fillId="3" borderId="36" xfId="0" applyNumberFormat="1" applyFill="1" applyBorder="1"/>
    <xf numFmtId="3" fontId="53" fillId="0" borderId="0" xfId="0" applyNumberFormat="1" applyFont="1"/>
    <xf numFmtId="3" fontId="0" fillId="2" borderId="49" xfId="0" applyNumberFormat="1" applyFont="1" applyFill="1" applyBorder="1" applyAlignment="1">
      <alignment horizontal="center"/>
    </xf>
    <xf numFmtId="0" fontId="0" fillId="0" borderId="37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0" fillId="0" borderId="37" xfId="0" applyFill="1" applyBorder="1" applyAlignment="1">
      <alignment horizontal="left"/>
    </xf>
    <xf numFmtId="0" fontId="0" fillId="0" borderId="37" xfId="0" applyFont="1" applyBorder="1" applyAlignment="1">
      <alignment horizontal="left"/>
    </xf>
    <xf numFmtId="0" fontId="1" fillId="2" borderId="0" xfId="0" applyFont="1" applyFill="1" applyAlignment="1">
      <alignment horizontal="left"/>
    </xf>
    <xf numFmtId="3" fontId="1" fillId="8" borderId="16" xfId="0" applyNumberFormat="1" applyFont="1" applyFill="1" applyBorder="1" applyAlignment="1">
      <alignment horizontal="center"/>
    </xf>
    <xf numFmtId="3" fontId="1" fillId="8" borderId="17" xfId="0" applyNumberFormat="1" applyFont="1" applyFill="1" applyBorder="1" applyAlignment="1">
      <alignment horizontal="center"/>
    </xf>
    <xf numFmtId="0" fontId="1" fillId="0" borderId="27" xfId="0" applyNumberFormat="1" applyFont="1" applyFill="1" applyBorder="1" applyAlignment="1">
      <alignment horizontal="center" vertical="center" wrapText="1"/>
    </xf>
    <xf numFmtId="0" fontId="1" fillId="0" borderId="29" xfId="0" applyNumberFormat="1" applyFont="1" applyFill="1" applyBorder="1" applyAlignment="1">
      <alignment horizontal="center" vertical="center" wrapText="1"/>
    </xf>
    <xf numFmtId="0" fontId="1" fillId="0" borderId="77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9" fontId="19" fillId="0" borderId="20" xfId="0" applyNumberFormat="1" applyFont="1" applyFill="1" applyBorder="1" applyAlignment="1">
      <alignment horizontal="center"/>
    </xf>
    <xf numFmtId="9" fontId="19" fillId="0" borderId="26" xfId="0" applyNumberFormat="1" applyFont="1" applyFill="1" applyBorder="1" applyAlignment="1">
      <alignment horizontal="center"/>
    </xf>
    <xf numFmtId="0" fontId="1" fillId="0" borderId="48" xfId="0" applyFont="1" applyBorder="1" applyAlignment="1">
      <alignment horizontal="center" vertical="center"/>
    </xf>
    <xf numFmtId="0" fontId="1" fillId="0" borderId="73" xfId="0" applyFont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/>
    </xf>
    <xf numFmtId="0" fontId="0" fillId="0" borderId="26" xfId="0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3" fontId="0" fillId="0" borderId="16" xfId="0" applyNumberFormat="1" applyFont="1" applyFill="1" applyBorder="1" applyAlignment="1">
      <alignment horizontal="center" vertical="center"/>
    </xf>
    <xf numFmtId="3" fontId="0" fillId="0" borderId="25" xfId="0" applyNumberFormat="1" applyFont="1" applyFill="1" applyBorder="1" applyAlignment="1">
      <alignment horizontal="center" vertical="center"/>
    </xf>
    <xf numFmtId="3" fontId="0" fillId="0" borderId="17" xfId="0" applyNumberFormat="1" applyFont="1" applyFill="1" applyBorder="1" applyAlignment="1">
      <alignment horizontal="center" vertical="center"/>
    </xf>
    <xf numFmtId="3" fontId="0" fillId="0" borderId="37" xfId="0" applyNumberFormat="1" applyBorder="1" applyAlignment="1">
      <alignment horizontal="right"/>
    </xf>
    <xf numFmtId="0" fontId="37" fillId="0" borderId="43" xfId="0" applyFont="1" applyBorder="1" applyAlignment="1">
      <alignment horizontal="center" wrapText="1"/>
    </xf>
    <xf numFmtId="0" fontId="37" fillId="0" borderId="44" xfId="0" applyFont="1" applyBorder="1" applyAlignment="1">
      <alignment horizontal="center" wrapText="1"/>
    </xf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0" fillId="0" borderId="65" xfId="0" applyFont="1" applyBorder="1" applyAlignment="1">
      <alignment horizontal="center"/>
    </xf>
    <xf numFmtId="0" fontId="0" fillId="0" borderId="36" xfId="0" applyFont="1" applyBorder="1" applyAlignment="1">
      <alignment horizontal="center"/>
    </xf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0" fillId="0" borderId="24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" fillId="7" borderId="27" xfId="0" applyFont="1" applyFill="1" applyBorder="1" applyAlignment="1">
      <alignment horizontal="left" vertical="center"/>
    </xf>
    <xf numFmtId="0" fontId="1" fillId="7" borderId="29" xfId="0" applyFont="1" applyFill="1" applyBorder="1" applyAlignment="1">
      <alignment horizontal="left" vertical="center"/>
    </xf>
    <xf numFmtId="0" fontId="1" fillId="7" borderId="24" xfId="0" applyFont="1" applyFill="1" applyBorder="1" applyAlignment="1">
      <alignment horizontal="left" vertical="center"/>
    </xf>
    <xf numFmtId="0" fontId="1" fillId="7" borderId="23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0" fillId="0" borderId="37" xfId="0" applyFont="1" applyFill="1" applyBorder="1" applyAlignment="1">
      <alignment horizontal="right"/>
    </xf>
    <xf numFmtId="0" fontId="1" fillId="0" borderId="30" xfId="0" applyNumberFormat="1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1" fillId="0" borderId="48" xfId="15" applyNumberFormat="1" applyFont="1" applyFill="1" applyBorder="1" applyAlignment="1">
      <alignment horizontal="center" vertical="center" wrapText="1"/>
    </xf>
    <xf numFmtId="0" fontId="1" fillId="0" borderId="34" xfId="15" applyNumberFormat="1" applyFont="1" applyFill="1" applyBorder="1" applyAlignment="1">
      <alignment horizontal="center" vertical="center" wrapText="1"/>
    </xf>
    <xf numFmtId="0" fontId="12" fillId="0" borderId="73" xfId="15" applyFont="1" applyBorder="1" applyAlignment="1">
      <alignment horizontal="center" vertical="center"/>
    </xf>
    <xf numFmtId="0" fontId="12" fillId="0" borderId="7" xfId="15" applyFont="1" applyBorder="1" applyAlignment="1">
      <alignment horizontal="center" vertical="center"/>
    </xf>
    <xf numFmtId="3" fontId="12" fillId="0" borderId="28" xfId="15" applyNumberFormat="1" applyFont="1" applyFill="1" applyBorder="1" applyAlignment="1">
      <alignment horizontal="center"/>
    </xf>
    <xf numFmtId="3" fontId="12" fillId="0" borderId="29" xfId="15" applyNumberFormat="1" applyFont="1" applyFill="1" applyBorder="1" applyAlignment="1">
      <alignment horizontal="center"/>
    </xf>
    <xf numFmtId="0" fontId="12" fillId="0" borderId="16" xfId="15" applyFill="1" applyBorder="1" applyAlignment="1">
      <alignment horizontal="center"/>
    </xf>
    <xf numFmtId="0" fontId="12" fillId="0" borderId="17" xfId="15" applyFill="1" applyBorder="1" applyAlignment="1">
      <alignment horizontal="center"/>
    </xf>
    <xf numFmtId="3" fontId="12" fillId="0" borderId="25" xfId="15" applyNumberFormat="1" applyFont="1" applyFill="1" applyBorder="1" applyAlignment="1">
      <alignment horizontal="center"/>
    </xf>
    <xf numFmtId="3" fontId="12" fillId="0" borderId="17" xfId="15" applyNumberFormat="1" applyFont="1" applyFill="1" applyBorder="1" applyAlignment="1">
      <alignment horizontal="center"/>
    </xf>
    <xf numFmtId="0" fontId="16" fillId="0" borderId="42" xfId="15" applyFont="1" applyBorder="1" applyAlignment="1">
      <alignment horizontal="center" wrapText="1"/>
    </xf>
    <xf numFmtId="0" fontId="16" fillId="0" borderId="43" xfId="15" applyFont="1" applyBorder="1" applyAlignment="1">
      <alignment horizontal="center" wrapText="1"/>
    </xf>
    <xf numFmtId="0" fontId="16" fillId="0" borderId="44" xfId="15" applyFont="1" applyBorder="1" applyAlignment="1">
      <alignment horizontal="center" wrapText="1"/>
    </xf>
    <xf numFmtId="9" fontId="19" fillId="0" borderId="20" xfId="15" applyNumberFormat="1" applyFont="1" applyFill="1" applyBorder="1" applyAlignment="1">
      <alignment horizontal="center"/>
    </xf>
    <xf numFmtId="9" fontId="19" fillId="0" borderId="26" xfId="15" applyNumberFormat="1" applyFont="1" applyFill="1" applyBorder="1" applyAlignment="1">
      <alignment horizontal="center"/>
    </xf>
    <xf numFmtId="0" fontId="12" fillId="0" borderId="65" xfId="15" applyFont="1" applyBorder="1" applyAlignment="1">
      <alignment horizontal="center"/>
    </xf>
    <xf numFmtId="0" fontId="12" fillId="0" borderId="36" xfId="15" applyFont="1" applyBorder="1" applyAlignment="1">
      <alignment horizontal="center"/>
    </xf>
    <xf numFmtId="0" fontId="16" fillId="0" borderId="20" xfId="15" applyFont="1" applyBorder="1" applyAlignment="1">
      <alignment horizontal="center" vertical="center" wrapText="1"/>
    </xf>
    <xf numFmtId="0" fontId="16" fillId="0" borderId="26" xfId="15" applyFont="1" applyBorder="1" applyAlignment="1">
      <alignment horizontal="center" vertical="center" wrapText="1"/>
    </xf>
    <xf numFmtId="0" fontId="12" fillId="0" borderId="41" xfId="15" applyBorder="1" applyAlignment="1">
      <alignment horizontal="center"/>
    </xf>
    <xf numFmtId="0" fontId="12" fillId="0" borderId="40" xfId="15" applyBorder="1" applyAlignment="1">
      <alignment horizontal="center"/>
    </xf>
    <xf numFmtId="0" fontId="1" fillId="2" borderId="16" xfId="15" applyFont="1" applyFill="1" applyBorder="1" applyAlignment="1">
      <alignment horizontal="left"/>
    </xf>
    <xf numFmtId="0" fontId="1" fillId="2" borderId="17" xfId="15" applyFont="1" applyFill="1" applyBorder="1" applyAlignment="1">
      <alignment horizontal="left"/>
    </xf>
    <xf numFmtId="0" fontId="12" fillId="0" borderId="70" xfId="15" applyBorder="1" applyAlignment="1">
      <alignment horizontal="center"/>
    </xf>
    <xf numFmtId="0" fontId="12" fillId="0" borderId="44" xfId="15" applyBorder="1" applyAlignment="1">
      <alignment horizontal="center"/>
    </xf>
    <xf numFmtId="0" fontId="1" fillId="0" borderId="16" xfId="15" applyFont="1" applyBorder="1" applyAlignment="1">
      <alignment horizontal="left" vertical="center"/>
    </xf>
    <xf numFmtId="0" fontId="1" fillId="0" borderId="25" xfId="15" applyFont="1" applyBorder="1" applyAlignment="1">
      <alignment horizontal="left" vertical="center"/>
    </xf>
    <xf numFmtId="0" fontId="1" fillId="7" borderId="27" xfId="15" applyFont="1" applyFill="1" applyBorder="1" applyAlignment="1">
      <alignment horizontal="left" vertical="center"/>
    </xf>
    <xf numFmtId="0" fontId="1" fillId="7" borderId="29" xfId="15" applyFont="1" applyFill="1" applyBorder="1" applyAlignment="1">
      <alignment horizontal="left" vertical="center"/>
    </xf>
    <xf numFmtId="0" fontId="1" fillId="7" borderId="24" xfId="15" applyFont="1" applyFill="1" applyBorder="1" applyAlignment="1">
      <alignment horizontal="left" vertical="center"/>
    </xf>
    <xf numFmtId="0" fontId="1" fillId="7" borderId="23" xfId="15" applyFont="1" applyFill="1" applyBorder="1" applyAlignment="1">
      <alignment horizontal="left" vertical="center"/>
    </xf>
    <xf numFmtId="0" fontId="1" fillId="0" borderId="16" xfId="15" applyFont="1" applyFill="1" applyBorder="1" applyAlignment="1">
      <alignment horizontal="center" vertical="center"/>
    </xf>
    <xf numFmtId="0" fontId="1" fillId="0" borderId="25" xfId="15" applyFont="1" applyFill="1" applyBorder="1" applyAlignment="1">
      <alignment horizontal="center" vertical="center"/>
    </xf>
    <xf numFmtId="0" fontId="16" fillId="0" borderId="65" xfId="15" applyFont="1" applyBorder="1" applyAlignment="1">
      <alignment horizontal="center" vertical="center" wrapText="1"/>
    </xf>
    <xf numFmtId="0" fontId="16" fillId="0" borderId="52" xfId="15" applyFont="1" applyBorder="1" applyAlignment="1">
      <alignment horizontal="center" vertical="center" wrapText="1"/>
    </xf>
    <xf numFmtId="0" fontId="12" fillId="0" borderId="48" xfId="15" applyBorder="1" applyAlignment="1">
      <alignment horizontal="center"/>
    </xf>
    <xf numFmtId="0" fontId="12" fillId="0" borderId="26" xfId="15" applyBorder="1" applyAlignment="1">
      <alignment horizontal="center"/>
    </xf>
    <xf numFmtId="0" fontId="12" fillId="0" borderId="73" xfId="15" applyBorder="1" applyAlignment="1">
      <alignment horizontal="center"/>
    </xf>
    <xf numFmtId="0" fontId="12" fillId="0" borderId="36" xfId="15" applyBorder="1" applyAlignment="1">
      <alignment horizontal="center"/>
    </xf>
    <xf numFmtId="0" fontId="16" fillId="0" borderId="70" xfId="15" applyFont="1" applyBorder="1" applyAlignment="1">
      <alignment horizontal="center" wrapText="1"/>
    </xf>
    <xf numFmtId="0" fontId="12" fillId="0" borderId="42" xfId="15" applyFill="1" applyBorder="1" applyAlignment="1">
      <alignment horizontal="center"/>
    </xf>
    <xf numFmtId="0" fontId="12" fillId="0" borderId="43" xfId="15" applyFill="1" applyBorder="1" applyAlignment="1">
      <alignment horizontal="center"/>
    </xf>
    <xf numFmtId="0" fontId="12" fillId="0" borderId="44" xfId="15" applyFill="1" applyBorder="1" applyAlignment="1">
      <alignment horizontal="center"/>
    </xf>
    <xf numFmtId="49" fontId="41" fillId="0" borderId="16" xfId="0" applyNumberFormat="1" applyFont="1" applyFill="1" applyBorder="1" applyAlignment="1">
      <alignment horizontal="center" vertical="center"/>
    </xf>
    <xf numFmtId="49" fontId="41" fillId="0" borderId="25" xfId="0" applyNumberFormat="1" applyFont="1" applyFill="1" applyBorder="1" applyAlignment="1">
      <alignment horizontal="center" vertical="center"/>
    </xf>
    <xf numFmtId="49" fontId="41" fillId="0" borderId="17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wrapText="1"/>
    </xf>
    <xf numFmtId="0" fontId="16" fillId="0" borderId="29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0" fontId="16" fillId="0" borderId="21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16" fillId="0" borderId="23" xfId="0" applyFont="1" applyBorder="1" applyAlignment="1">
      <alignment horizontal="center" wrapText="1"/>
    </xf>
    <xf numFmtId="0" fontId="40" fillId="0" borderId="27" xfId="0" applyFont="1" applyBorder="1" applyAlignment="1">
      <alignment horizontal="center"/>
    </xf>
    <xf numFmtId="0" fontId="40" fillId="0" borderId="29" xfId="0" applyFont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</cellXfs>
  <cellStyles count="74">
    <cellStyle name="20 % – Zvýraznění1" xfId="35" builtinId="30" customBuiltin="1"/>
    <cellStyle name="20 % – Zvýraznění2" xfId="39" builtinId="34" customBuiltin="1"/>
    <cellStyle name="20 % – Zvýraznění3" xfId="43" builtinId="38" customBuiltin="1"/>
    <cellStyle name="20 % – Zvýraznění4" xfId="47" builtinId="42" customBuiltin="1"/>
    <cellStyle name="20 % – Zvýraznění5" xfId="51" builtinId="46" customBuiltin="1"/>
    <cellStyle name="20 % – Zvýraznění6" xfId="55" builtinId="50" customBuiltin="1"/>
    <cellStyle name="40 % – Zvýraznění1" xfId="36" builtinId="31" customBuiltin="1"/>
    <cellStyle name="40 % – Zvýraznění2" xfId="40" builtinId="35" customBuiltin="1"/>
    <cellStyle name="40 % – Zvýraznění3" xfId="44" builtinId="39" customBuiltin="1"/>
    <cellStyle name="40 % – Zvýraznění4" xfId="48" builtinId="43" customBuiltin="1"/>
    <cellStyle name="40 % – Zvýraznění5" xfId="52" builtinId="47" customBuiltin="1"/>
    <cellStyle name="40 % – Zvýraznění6" xfId="56" builtinId="51" customBuiltin="1"/>
    <cellStyle name="60 % – Zvýraznění1" xfId="37" builtinId="32" customBuiltin="1"/>
    <cellStyle name="60 % – Zvýraznění2" xfId="41" builtinId="36" customBuiltin="1"/>
    <cellStyle name="60 % – Zvýraznění3" xfId="45" builtinId="40" customBuiltin="1"/>
    <cellStyle name="60 % – Zvýraznění4" xfId="49" builtinId="44" customBuiltin="1"/>
    <cellStyle name="60 % – Zvýraznění5" xfId="53" builtinId="48" customBuiltin="1"/>
    <cellStyle name="60 % – Zvýraznění6" xfId="57" builtinId="52" customBuiltin="1"/>
    <cellStyle name="Celkem" xfId="33" builtinId="25" customBuiltin="1"/>
    <cellStyle name="Čárka" xfId="62" builtinId="3"/>
    <cellStyle name="čárky 2" xfId="2"/>
    <cellStyle name="Excel_BuiltIn_Neutrální" xfId="3"/>
    <cellStyle name="Kontrolní buňka" xfId="29" builtinId="23" customBuiltin="1"/>
    <cellStyle name="měny 2" xfId="4"/>
    <cellStyle name="měny 2 2" xfId="5"/>
    <cellStyle name="Nadpis 1" xfId="18" builtinId="16" customBuiltin="1"/>
    <cellStyle name="Nadpis 2" xfId="19" builtinId="17" customBuiltin="1"/>
    <cellStyle name="Nadpis 3" xfId="20" builtinId="18" customBuiltin="1"/>
    <cellStyle name="Nadpis 4" xfId="21" builtinId="19" customBuiltin="1"/>
    <cellStyle name="Název" xfId="17" builtinId="15" customBuiltin="1"/>
    <cellStyle name="Neutrální" xfId="24" builtinId="28" customBuiltin="1"/>
    <cellStyle name="Normální" xfId="0" builtinId="0"/>
    <cellStyle name="Normální 10" xfId="6"/>
    <cellStyle name="Normální 11" xfId="15"/>
    <cellStyle name="Normální 11 2" xfId="16"/>
    <cellStyle name="Normální 11 2 2" xfId="67"/>
    <cellStyle name="Normální 12" xfId="58"/>
    <cellStyle name="Normální 12 2" xfId="68"/>
    <cellStyle name="Normální 13" xfId="63"/>
    <cellStyle name="Normální 13 2" xfId="69"/>
    <cellStyle name="Normální 2" xfId="1"/>
    <cellStyle name="normální 2 2" xfId="60"/>
    <cellStyle name="normální 2 3" xfId="64"/>
    <cellStyle name="Normální 2 3 2" xfId="71"/>
    <cellStyle name="Normální 3" xfId="7"/>
    <cellStyle name="Normální 3 2" xfId="73"/>
    <cellStyle name="Normální 3 3" xfId="72"/>
    <cellStyle name="Normální 4" xfId="8"/>
    <cellStyle name="Normální 5" xfId="9"/>
    <cellStyle name="Normální 6" xfId="10"/>
    <cellStyle name="Normální 7" xfId="11"/>
    <cellStyle name="Normální 8" xfId="12"/>
    <cellStyle name="Normální 9" xfId="13"/>
    <cellStyle name="Poznámka" xfId="31" builtinId="10" customBuiltin="1"/>
    <cellStyle name="Poznámka 2" xfId="66"/>
    <cellStyle name="procent 2" xfId="14"/>
    <cellStyle name="Procenta" xfId="70" builtinId="5"/>
    <cellStyle name="Procenta 2" xfId="59"/>
    <cellStyle name="Procenta 3" xfId="65"/>
    <cellStyle name="Propojená buňka" xfId="28" builtinId="24" customBuiltin="1"/>
    <cellStyle name="Správně" xfId="22" builtinId="26" customBuiltin="1"/>
    <cellStyle name="Styl 1" xfId="61"/>
    <cellStyle name="Špatně" xfId="23" builtinId="27" customBuiltin="1"/>
    <cellStyle name="Text upozornění" xfId="30" builtinId="11" customBuiltin="1"/>
    <cellStyle name="Vstup" xfId="25" builtinId="20" customBuiltin="1"/>
    <cellStyle name="Výpočet" xfId="27" builtinId="22" customBuiltin="1"/>
    <cellStyle name="Výstup" xfId="26" builtinId="21" customBuiltin="1"/>
    <cellStyle name="Vysvětlující text" xfId="32" builtinId="53" customBuiltin="1"/>
    <cellStyle name="Zvýraznění 1" xfId="34" builtinId="29" customBuiltin="1"/>
    <cellStyle name="Zvýraznění 2" xfId="38" builtinId="33" customBuiltin="1"/>
    <cellStyle name="Zvýraznění 3" xfId="42" builtinId="37" customBuiltin="1"/>
    <cellStyle name="Zvýraznění 4" xfId="46" builtinId="41" customBuiltin="1"/>
    <cellStyle name="Zvýraznění 5" xfId="50" builtinId="45" customBuiltin="1"/>
    <cellStyle name="Zvýraznění 6" xfId="54" builtinId="49" customBuiltin="1"/>
  </cellStyles>
  <dxfs count="0"/>
  <tableStyles count="0" defaultTableStyle="TableStyleMedium2" defaultPivotStyle="PivotStyleLight16"/>
  <colors>
    <mruColors>
      <color rgb="FF8BF32D"/>
      <color rgb="FF40ED33"/>
      <color rgb="FFFFFF99"/>
      <color rgb="FFCAE8AA"/>
      <color rgb="FFF8E2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W118"/>
  <sheetViews>
    <sheetView tabSelected="1" topLeftCell="A27" zoomScale="80" zoomScaleNormal="80" workbookViewId="0">
      <selection activeCell="W57" sqref="W57"/>
    </sheetView>
  </sheetViews>
  <sheetFormatPr defaultColWidth="9.140625" defaultRowHeight="15" x14ac:dyDescent="0.25"/>
  <cols>
    <col min="1" max="1" width="2.28515625" style="30" customWidth="1"/>
    <col min="2" max="2" width="29.28515625" style="30" customWidth="1"/>
    <col min="3" max="3" width="39" style="30" customWidth="1"/>
    <col min="4" max="4" width="17" style="30" customWidth="1"/>
    <col min="5" max="5" width="16.28515625" style="7" customWidth="1"/>
    <col min="6" max="6" width="16.28515625" style="653" customWidth="1"/>
    <col min="7" max="7" width="23.140625" style="7" customWidth="1"/>
    <col min="8" max="8" width="17" style="7" customWidth="1"/>
    <col min="9" max="9" width="17" style="653" customWidth="1"/>
    <col min="10" max="10" width="22.140625" style="3" bestFit="1" customWidth="1"/>
    <col min="11" max="11" width="11.7109375" style="530" customWidth="1"/>
    <col min="12" max="12" width="11.140625" style="530" customWidth="1"/>
    <col min="13" max="13" width="10.85546875" style="530" customWidth="1"/>
    <col min="14" max="14" width="10.42578125" style="530" customWidth="1"/>
    <col min="15" max="15" width="11.7109375" style="3" customWidth="1"/>
    <col min="16" max="16" width="10.5703125" style="30" customWidth="1"/>
    <col min="17" max="17" width="9" style="30" customWidth="1"/>
    <col min="18" max="18" width="11.28515625" style="30" customWidth="1"/>
    <col min="19" max="16384" width="9.140625" style="30"/>
  </cols>
  <sheetData>
    <row r="1" spans="2:21" ht="18.75" x14ac:dyDescent="0.3">
      <c r="B1" s="535" t="s">
        <v>209</v>
      </c>
      <c r="C1" s="3"/>
      <c r="D1" s="3"/>
      <c r="G1" s="466">
        <f>G9/G7%</f>
        <v>15.161994999999999</v>
      </c>
      <c r="H1" s="466">
        <f>H9/H7%</f>
        <v>15.161995000000003</v>
      </c>
      <c r="I1" s="466"/>
    </row>
    <row r="2" spans="2:21" ht="15.75" thickBot="1" x14ac:dyDescent="0.3">
      <c r="Q2" s="3"/>
    </row>
    <row r="3" spans="2:21" ht="37.5" customHeight="1" thickBot="1" x14ac:dyDescent="0.3">
      <c r="B3" s="786" t="s">
        <v>62</v>
      </c>
      <c r="C3" s="787"/>
      <c r="D3" s="805" t="s">
        <v>210</v>
      </c>
      <c r="E3" s="806"/>
      <c r="F3" s="807"/>
      <c r="G3" s="802" t="s">
        <v>211</v>
      </c>
      <c r="H3" s="803"/>
      <c r="I3" s="804"/>
      <c r="J3" s="612" t="s">
        <v>212</v>
      </c>
      <c r="K3" s="792" t="s">
        <v>188</v>
      </c>
      <c r="L3" s="793"/>
      <c r="M3" s="811" t="s">
        <v>167</v>
      </c>
      <c r="N3" s="812"/>
      <c r="O3" s="609" t="s">
        <v>184</v>
      </c>
      <c r="P3" s="794" t="s">
        <v>168</v>
      </c>
      <c r="Q3" s="795"/>
      <c r="R3" s="591" t="s">
        <v>180</v>
      </c>
    </row>
    <row r="4" spans="2:21" ht="15.75" thickBot="1" x14ac:dyDescent="0.3">
      <c r="B4" s="788"/>
      <c r="C4" s="789"/>
      <c r="D4" s="45" t="s">
        <v>84</v>
      </c>
      <c r="E4" s="544" t="s">
        <v>105</v>
      </c>
      <c r="F4" s="717" t="s">
        <v>213</v>
      </c>
      <c r="G4" s="55" t="s">
        <v>84</v>
      </c>
      <c r="H4" s="452" t="s">
        <v>105</v>
      </c>
      <c r="I4" s="717" t="s">
        <v>213</v>
      </c>
      <c r="J4" s="592"/>
      <c r="K4" s="593">
        <v>30</v>
      </c>
      <c r="L4" s="594">
        <v>11</v>
      </c>
      <c r="M4" s="593">
        <v>30</v>
      </c>
      <c r="N4" s="594">
        <v>11</v>
      </c>
      <c r="O4" s="598" t="s">
        <v>181</v>
      </c>
      <c r="P4" s="595">
        <v>30</v>
      </c>
      <c r="Q4" s="596">
        <v>11</v>
      </c>
      <c r="R4" s="597"/>
    </row>
    <row r="5" spans="2:21" ht="15.75" hidden="1" customHeight="1" thickBot="1" x14ac:dyDescent="0.3">
      <c r="B5" s="790">
        <v>-0.39</v>
      </c>
      <c r="C5" s="813"/>
      <c r="D5" s="796"/>
      <c r="E5" s="798"/>
      <c r="F5" s="742"/>
      <c r="G5" s="800"/>
      <c r="H5" s="809" t="s">
        <v>94</v>
      </c>
      <c r="I5" s="718"/>
      <c r="J5" s="536"/>
      <c r="K5" s="558"/>
      <c r="L5" s="559"/>
      <c r="M5" s="558"/>
      <c r="N5" s="559"/>
      <c r="O5" s="599"/>
      <c r="P5" s="570"/>
      <c r="Q5" s="570"/>
      <c r="R5" s="590"/>
    </row>
    <row r="6" spans="2:21" ht="69.75" hidden="1" customHeight="1" thickBot="1" x14ac:dyDescent="0.3">
      <c r="B6" s="791"/>
      <c r="C6" s="814"/>
      <c r="D6" s="797"/>
      <c r="E6" s="799"/>
      <c r="F6" s="743"/>
      <c r="G6" s="801"/>
      <c r="H6" s="810"/>
      <c r="I6" s="719"/>
      <c r="J6" s="537"/>
      <c r="K6" s="558"/>
      <c r="L6" s="559"/>
      <c r="M6" s="558"/>
      <c r="N6" s="559"/>
      <c r="O6" s="600"/>
      <c r="P6" s="570"/>
      <c r="Q6" s="570"/>
      <c r="R6" s="571"/>
    </row>
    <row r="7" spans="2:21" ht="18.75" customHeight="1" thickBot="1" x14ac:dyDescent="0.3">
      <c r="B7" s="817" t="s">
        <v>88</v>
      </c>
      <c r="C7" s="818"/>
      <c r="D7" s="545"/>
      <c r="E7" s="545"/>
      <c r="F7" s="545"/>
      <c r="G7" s="541">
        <v>407055.35</v>
      </c>
      <c r="H7" s="35">
        <v>335800.21600000001</v>
      </c>
      <c r="I7" s="720">
        <v>132.79596000000001</v>
      </c>
      <c r="J7" s="538">
        <f>G7+H7+I7</f>
        <v>742988.36196000001</v>
      </c>
      <c r="K7" s="626"/>
      <c r="L7" s="627"/>
      <c r="M7" s="626"/>
      <c r="N7" s="627"/>
      <c r="O7" s="600"/>
      <c r="P7" s="585"/>
      <c r="Q7" s="556"/>
      <c r="R7" s="571"/>
    </row>
    <row r="8" spans="2:21" ht="15.75" thickBot="1" x14ac:dyDescent="0.3">
      <c r="B8" s="43" t="s">
        <v>103</v>
      </c>
      <c r="C8" s="353"/>
      <c r="D8" s="375"/>
      <c r="E8" s="375"/>
      <c r="F8" s="382"/>
      <c r="G8" s="620">
        <v>0.15161995</v>
      </c>
      <c r="H8" s="620">
        <v>0.15161995</v>
      </c>
      <c r="I8" s="620"/>
      <c r="J8" s="56"/>
      <c r="K8" s="628"/>
      <c r="L8" s="629"/>
      <c r="M8" s="628"/>
      <c r="N8" s="629"/>
      <c r="O8" s="600"/>
      <c r="P8" s="585"/>
      <c r="Q8" s="556"/>
      <c r="R8" s="571"/>
    </row>
    <row r="9" spans="2:21" ht="15.75" thickBot="1" x14ac:dyDescent="0.3">
      <c r="B9" s="784"/>
      <c r="C9" s="785"/>
      <c r="D9" s="56"/>
      <c r="E9" s="56"/>
      <c r="F9" s="56"/>
      <c r="G9" s="749">
        <f>G7*G8</f>
        <v>61717.711814232498</v>
      </c>
      <c r="H9" s="749">
        <f>H7*H8</f>
        <v>50914.011959909207</v>
      </c>
      <c r="I9" s="749"/>
      <c r="J9" s="539">
        <f>G9+H9</f>
        <v>112631.7237741417</v>
      </c>
      <c r="K9" s="630"/>
      <c r="L9" s="631"/>
      <c r="M9" s="630"/>
      <c r="N9" s="631"/>
      <c r="O9" s="600"/>
      <c r="P9" s="585"/>
      <c r="Q9" s="556"/>
      <c r="R9" s="571"/>
    </row>
    <row r="10" spans="2:21" ht="15.75" thickBot="1" x14ac:dyDescent="0.3">
      <c r="B10" s="819"/>
      <c r="C10" s="820"/>
      <c r="D10" s="614"/>
      <c r="E10" s="615"/>
      <c r="F10" s="744"/>
      <c r="G10" s="547">
        <f>G7-G9</f>
        <v>345337.63818576746</v>
      </c>
      <c r="H10" s="39">
        <f>H7-H9</f>
        <v>284886.20404009079</v>
      </c>
      <c r="I10" s="547"/>
      <c r="J10" s="40">
        <f>J7-J9</f>
        <v>630356.63818585826</v>
      </c>
      <c r="K10" s="628"/>
      <c r="L10" s="629"/>
      <c r="M10" s="628"/>
      <c r="N10" s="629"/>
      <c r="O10" s="601"/>
      <c r="P10" s="585"/>
      <c r="Q10" s="556"/>
      <c r="R10" s="571"/>
    </row>
    <row r="11" spans="2:21" ht="15.75" thickBot="1" x14ac:dyDescent="0.3">
      <c r="B11" s="821" t="s">
        <v>135</v>
      </c>
      <c r="C11" s="822"/>
      <c r="D11" s="616"/>
      <c r="E11" s="616"/>
      <c r="F11" s="745"/>
      <c r="G11" s="621">
        <v>0.19350000000000001</v>
      </c>
      <c r="H11" s="621">
        <v>0.19350000000000001</v>
      </c>
      <c r="I11" s="721"/>
      <c r="J11" s="540"/>
      <c r="K11" s="628"/>
      <c r="L11" s="629"/>
      <c r="M11" s="628"/>
      <c r="N11" s="629"/>
      <c r="O11" s="600"/>
      <c r="P11" s="585"/>
      <c r="Q11" s="556"/>
      <c r="R11" s="571"/>
    </row>
    <row r="12" spans="2:21" ht="15.75" thickBot="1" x14ac:dyDescent="0.3">
      <c r="B12" s="823"/>
      <c r="C12" s="824"/>
      <c r="D12" s="616"/>
      <c r="E12" s="616"/>
      <c r="F12" s="745"/>
      <c r="G12" s="352">
        <f>G7*G11</f>
        <v>78765.210225000003</v>
      </c>
      <c r="H12" s="352">
        <f>(H7-E17-E18)*H11</f>
        <v>64771.844796000005</v>
      </c>
      <c r="I12" s="352"/>
      <c r="J12" s="42">
        <f>SUM(G12:H12)</f>
        <v>143537.05502100001</v>
      </c>
      <c r="K12" s="626"/>
      <c r="L12" s="627"/>
      <c r="M12" s="626"/>
      <c r="N12" s="627"/>
      <c r="O12" s="601"/>
      <c r="P12" s="586"/>
      <c r="Q12" s="557"/>
      <c r="R12" s="4"/>
      <c r="U12" s="3"/>
    </row>
    <row r="13" spans="2:21" ht="15.75" thickBot="1" x14ac:dyDescent="0.3">
      <c r="B13" s="20" t="s">
        <v>138</v>
      </c>
      <c r="C13" s="21">
        <v>3740</v>
      </c>
      <c r="D13" s="617"/>
      <c r="E13" s="617"/>
      <c r="F13" s="617"/>
      <c r="G13" s="622"/>
      <c r="H13" s="617"/>
      <c r="I13" s="722"/>
      <c r="J13" s="494"/>
      <c r="K13" s="632"/>
      <c r="L13" s="633"/>
      <c r="M13" s="632"/>
      <c r="N13" s="633"/>
      <c r="O13" s="601"/>
      <c r="P13" s="585"/>
      <c r="Q13" s="556"/>
      <c r="R13" s="571"/>
    </row>
    <row r="14" spans="2:21" ht="15.75" thickBot="1" x14ac:dyDescent="0.3">
      <c r="B14" s="825" t="s">
        <v>104</v>
      </c>
      <c r="C14" s="826"/>
      <c r="D14" s="372"/>
      <c r="E14" s="372"/>
      <c r="F14" s="372"/>
      <c r="G14" s="457">
        <f>G8+G11</f>
        <v>0.34511995000000001</v>
      </c>
      <c r="H14" s="457">
        <f>H8+H11</f>
        <v>0.34511995000000001</v>
      </c>
      <c r="I14" s="456"/>
      <c r="J14" s="354"/>
      <c r="K14" s="634"/>
      <c r="L14" s="635"/>
      <c r="M14" s="634"/>
      <c r="N14" s="635"/>
      <c r="O14" s="601"/>
      <c r="P14" s="585"/>
      <c r="Q14" s="556"/>
      <c r="R14" s="571"/>
    </row>
    <row r="15" spans="2:21" s="61" customFormat="1" ht="15.75" thickBot="1" x14ac:dyDescent="0.3">
      <c r="B15" s="51" t="s">
        <v>162</v>
      </c>
      <c r="C15" s="354"/>
      <c r="D15" s="371"/>
      <c r="E15" s="371"/>
      <c r="F15" s="371"/>
      <c r="G15" s="736">
        <v>250</v>
      </c>
      <c r="H15" s="737"/>
      <c r="I15" s="750"/>
      <c r="J15" s="752">
        <f t="shared" ref="J15:J18" si="0">G15+H15</f>
        <v>250</v>
      </c>
      <c r="K15" s="636"/>
      <c r="L15" s="637"/>
      <c r="M15" s="636"/>
      <c r="N15" s="637"/>
      <c r="O15" s="601"/>
      <c r="P15" s="585"/>
      <c r="Q15" s="556"/>
      <c r="R15" s="571"/>
    </row>
    <row r="16" spans="2:21" s="61" customFormat="1" ht="15.75" thickBot="1" x14ac:dyDescent="0.3">
      <c r="B16" s="51" t="s">
        <v>137</v>
      </c>
      <c r="C16" s="354"/>
      <c r="D16" s="372"/>
      <c r="E16" s="371"/>
      <c r="F16" s="371"/>
      <c r="G16" s="736"/>
      <c r="H16" s="738">
        <v>2400</v>
      </c>
      <c r="I16" s="723"/>
      <c r="J16" s="623">
        <f t="shared" si="0"/>
        <v>2400</v>
      </c>
      <c r="K16" s="628"/>
      <c r="L16" s="629"/>
      <c r="M16" s="628"/>
      <c r="N16" s="629"/>
      <c r="O16" s="601"/>
      <c r="P16" s="585"/>
      <c r="Q16" s="556"/>
      <c r="R16" s="571"/>
    </row>
    <row r="17" spans="2:23" s="61" customFormat="1" ht="15.75" thickBot="1" x14ac:dyDescent="0.3">
      <c r="B17" s="51" t="s">
        <v>186</v>
      </c>
      <c r="C17" s="354"/>
      <c r="D17" s="372"/>
      <c r="E17" s="735">
        <v>635</v>
      </c>
      <c r="F17" s="735"/>
      <c r="G17" s="736"/>
      <c r="H17" s="739">
        <v>538</v>
      </c>
      <c r="I17" s="624"/>
      <c r="J17" s="623">
        <f t="shared" si="0"/>
        <v>538</v>
      </c>
      <c r="K17" s="638"/>
      <c r="L17" s="639"/>
      <c r="M17" s="638"/>
      <c r="N17" s="639"/>
      <c r="O17" s="602"/>
      <c r="P17" s="587"/>
      <c r="Q17" s="567"/>
      <c r="R17" s="572"/>
    </row>
    <row r="18" spans="2:23" s="61" customFormat="1" ht="15.75" thickBot="1" x14ac:dyDescent="0.3">
      <c r="B18" s="51" t="s">
        <v>187</v>
      </c>
      <c r="C18" s="354"/>
      <c r="D18" s="372"/>
      <c r="E18" s="735">
        <v>427</v>
      </c>
      <c r="F18" s="735"/>
      <c r="G18" s="740"/>
      <c r="H18" s="739">
        <v>362</v>
      </c>
      <c r="I18" s="723"/>
      <c r="J18" s="753">
        <f t="shared" si="0"/>
        <v>362</v>
      </c>
      <c r="K18" s="638"/>
      <c r="L18" s="639"/>
      <c r="M18" s="638"/>
      <c r="N18" s="639"/>
      <c r="O18" s="602"/>
      <c r="P18" s="587"/>
      <c r="Q18" s="567"/>
      <c r="R18" s="572"/>
    </row>
    <row r="19" spans="2:23" ht="15.75" thickBot="1" x14ac:dyDescent="0.3">
      <c r="B19" s="815" t="s">
        <v>129</v>
      </c>
      <c r="C19" s="816"/>
      <c r="D19" s="618">
        <v>407055.35</v>
      </c>
      <c r="E19" s="619">
        <v>334738.88</v>
      </c>
      <c r="F19" s="748">
        <v>132.79596000000001</v>
      </c>
      <c r="G19" s="548">
        <f>G7-G9-G12-G15-G17</f>
        <v>266322.42796076747</v>
      </c>
      <c r="H19" s="360">
        <f>H7-H9-H12-H16-H17-H18</f>
        <v>216814.3592440908</v>
      </c>
      <c r="I19" s="360"/>
      <c r="J19" s="751">
        <f>J7-J9-J12-J15-J16-J17-J18</f>
        <v>483269.58316485828</v>
      </c>
      <c r="K19" s="640"/>
      <c r="L19" s="641"/>
      <c r="M19" s="642"/>
      <c r="N19" s="641"/>
      <c r="O19" s="602"/>
      <c r="P19" s="587"/>
      <c r="Q19" s="567"/>
      <c r="R19" s="572"/>
    </row>
    <row r="20" spans="2:23" x14ac:dyDescent="0.25">
      <c r="B20" s="20" t="s">
        <v>1</v>
      </c>
      <c r="C20" s="550">
        <v>3110</v>
      </c>
      <c r="D20" s="425"/>
      <c r="E20" s="24"/>
      <c r="F20" s="24"/>
      <c r="G20" s="425"/>
      <c r="H20" s="22"/>
      <c r="I20" s="724"/>
      <c r="J20" s="724">
        <f>G20+H20+I20</f>
        <v>0</v>
      </c>
      <c r="K20" s="643"/>
      <c r="L20" s="644"/>
      <c r="M20" s="643"/>
      <c r="N20" s="644"/>
      <c r="O20" s="603"/>
      <c r="P20" s="588"/>
      <c r="Q20" s="588"/>
      <c r="R20" s="573"/>
    </row>
    <row r="21" spans="2:23" x14ac:dyDescent="0.25">
      <c r="B21" s="2" t="s">
        <v>29</v>
      </c>
      <c r="C21" s="551">
        <v>3111</v>
      </c>
      <c r="D21" s="4">
        <v>10577.366206471157</v>
      </c>
      <c r="E21" s="4">
        <v>17330.515790584599</v>
      </c>
      <c r="F21" s="4"/>
      <c r="G21" s="414">
        <v>6920.4098399334916</v>
      </c>
      <c r="H21" s="416">
        <v>11225.153275629371</v>
      </c>
      <c r="I21" s="725">
        <v>0</v>
      </c>
      <c r="J21" s="725">
        <f t="shared" ref="J21:J61" si="1">G21+H21+I21</f>
        <v>18145.563115562862</v>
      </c>
      <c r="K21" s="645">
        <v>135</v>
      </c>
      <c r="L21" s="646">
        <v>-5</v>
      </c>
      <c r="M21" s="645">
        <v>4254</v>
      </c>
      <c r="N21" s="646">
        <v>5921</v>
      </c>
      <c r="O21" s="601">
        <f>(M21+N21)/(G21+H21+K21+L21)</f>
        <v>0.55675439031125162</v>
      </c>
      <c r="P21" s="586">
        <f>G21+K21-M21</f>
        <v>2801.4098399334916</v>
      </c>
      <c r="Q21" s="586">
        <f>H21+I21+L21-N21</f>
        <v>5299.1532756293709</v>
      </c>
      <c r="R21" s="4">
        <f t="shared" ref="R21:R61" si="2">SUM(P21:Q21)</f>
        <v>8100.5631155628625</v>
      </c>
      <c r="S21" s="61"/>
      <c r="T21" s="61"/>
    </row>
    <row r="22" spans="2:23" x14ac:dyDescent="0.25">
      <c r="B22" s="37" t="s">
        <v>0</v>
      </c>
      <c r="C22" s="552">
        <v>3112</v>
      </c>
      <c r="D22" s="747">
        <v>18144.622499417463</v>
      </c>
      <c r="E22" s="747">
        <v>13987.840340590306</v>
      </c>
      <c r="F22" s="4">
        <v>24.199400000000001</v>
      </c>
      <c r="G22" s="414">
        <v>11871.407459640141</v>
      </c>
      <c r="H22" s="416">
        <v>9060.0680161788441</v>
      </c>
      <c r="I22" s="725">
        <v>24.199400000000001</v>
      </c>
      <c r="J22" s="725">
        <f t="shared" si="1"/>
        <v>20955.674875818986</v>
      </c>
      <c r="K22" s="645">
        <v>-77</v>
      </c>
      <c r="L22" s="646">
        <v>60</v>
      </c>
      <c r="M22" s="645">
        <v>10304</v>
      </c>
      <c r="N22" s="646">
        <v>1456</v>
      </c>
      <c r="O22" s="601">
        <f>(M22+N22)/(G22+H22+K22+L22)</f>
        <v>0.56228998014302312</v>
      </c>
      <c r="P22" s="758">
        <f t="shared" ref="P22:P61" si="3">G22+K22-M22</f>
        <v>1490.4074596401406</v>
      </c>
      <c r="Q22" s="758">
        <f t="shared" ref="Q22:Q61" si="4">H22+I22+L22-N22</f>
        <v>7688.2674161788436</v>
      </c>
      <c r="R22" s="4">
        <f t="shared" si="2"/>
        <v>9178.6748758189842</v>
      </c>
      <c r="S22" s="61"/>
      <c r="T22" s="61"/>
    </row>
    <row r="23" spans="2:23" ht="15.75" thickBot="1" x14ac:dyDescent="0.3">
      <c r="B23" s="18" t="s">
        <v>79</v>
      </c>
      <c r="C23" s="553">
        <v>3113</v>
      </c>
      <c r="D23" s="560">
        <v>24054.213044329073</v>
      </c>
      <c r="E23" s="560">
        <v>27244.16443441005</v>
      </c>
      <c r="F23" s="746">
        <v>2.6852800000000001</v>
      </c>
      <c r="G23" s="565">
        <v>15737.850935140108</v>
      </c>
      <c r="H23" s="564">
        <v>17646.325437633564</v>
      </c>
      <c r="I23" s="564">
        <v>2.6852800000000001</v>
      </c>
      <c r="J23" s="564">
        <f t="shared" si="1"/>
        <v>33386.861652773667</v>
      </c>
      <c r="K23" s="647">
        <v>1721</v>
      </c>
      <c r="L23" s="648">
        <v>-8</v>
      </c>
      <c r="M23" s="647">
        <v>9117</v>
      </c>
      <c r="N23" s="648">
        <v>8927</v>
      </c>
      <c r="O23" s="604">
        <f>(M23+N23)/(G23+H23+K23+L23)</f>
        <v>0.51411543220318645</v>
      </c>
      <c r="P23" s="707">
        <f t="shared" si="3"/>
        <v>8341.850935140108</v>
      </c>
      <c r="Q23" s="589">
        <f t="shared" si="4"/>
        <v>8714.0107176335659</v>
      </c>
      <c r="R23" s="560">
        <f t="shared" si="2"/>
        <v>17055.861652773674</v>
      </c>
      <c r="S23" s="61"/>
      <c r="T23" s="61"/>
    </row>
    <row r="24" spans="2:23" x14ac:dyDescent="0.25">
      <c r="B24" s="20" t="s">
        <v>2</v>
      </c>
      <c r="C24" s="550">
        <v>3120</v>
      </c>
      <c r="D24" s="425"/>
      <c r="E24" s="24" t="s">
        <v>185</v>
      </c>
      <c r="F24" s="24"/>
      <c r="G24" s="425">
        <v>0</v>
      </c>
      <c r="H24" s="24">
        <v>0</v>
      </c>
      <c r="I24" s="24"/>
      <c r="J24" s="24">
        <f t="shared" si="1"/>
        <v>0</v>
      </c>
      <c r="K24" s="643"/>
      <c r="L24" s="644"/>
      <c r="M24" s="643"/>
      <c r="N24" s="644"/>
      <c r="O24" s="605"/>
      <c r="P24" s="706">
        <f t="shared" si="3"/>
        <v>0</v>
      </c>
      <c r="Q24" s="706">
        <f t="shared" si="4"/>
        <v>0</v>
      </c>
      <c r="R24" s="574">
        <f t="shared" si="2"/>
        <v>0</v>
      </c>
      <c r="S24" s="61"/>
    </row>
    <row r="25" spans="2:23" x14ac:dyDescent="0.25">
      <c r="B25" s="2" t="s">
        <v>3</v>
      </c>
      <c r="C25" s="551">
        <v>3122</v>
      </c>
      <c r="D25" s="462">
        <v>6676.9493299581236</v>
      </c>
      <c r="E25" s="462">
        <v>20315.773217150807</v>
      </c>
      <c r="F25" s="462">
        <v>12.08555</v>
      </c>
      <c r="G25" s="414">
        <v>2076.3091485067503</v>
      </c>
      <c r="H25" s="416">
        <v>11471.735206215766</v>
      </c>
      <c r="I25" s="725">
        <v>12.08555</v>
      </c>
      <c r="J25" s="725">
        <f t="shared" si="1"/>
        <v>13560.129904722517</v>
      </c>
      <c r="K25" s="645">
        <v>0</v>
      </c>
      <c r="L25" s="646">
        <v>-37</v>
      </c>
      <c r="M25" s="645">
        <v>1524</v>
      </c>
      <c r="N25" s="646">
        <v>7415</v>
      </c>
      <c r="O25" s="601">
        <f>(M25+N25)/(G25+H25+K25+L25)</f>
        <v>0.6616068873221892</v>
      </c>
      <c r="P25" s="758">
        <f t="shared" si="3"/>
        <v>552.30914850675026</v>
      </c>
      <c r="Q25" s="758">
        <f t="shared" si="4"/>
        <v>4031.8207562157659</v>
      </c>
      <c r="R25" s="4">
        <f t="shared" si="2"/>
        <v>4584.1299047225166</v>
      </c>
      <c r="S25" s="61"/>
    </row>
    <row r="26" spans="2:23" x14ac:dyDescent="0.25">
      <c r="B26" s="2" t="s">
        <v>30</v>
      </c>
      <c r="C26" s="551">
        <v>3123</v>
      </c>
      <c r="D26" s="4">
        <v>32621.149109763737</v>
      </c>
      <c r="E26" s="4">
        <v>20638.649563402549</v>
      </c>
      <c r="F26" s="4"/>
      <c r="G26" s="414">
        <v>21342.904923820577</v>
      </c>
      <c r="H26" s="416">
        <v>13211.865535603887</v>
      </c>
      <c r="I26" s="725">
        <v>0</v>
      </c>
      <c r="J26" s="725">
        <f t="shared" si="1"/>
        <v>34554.770459424464</v>
      </c>
      <c r="K26" s="645">
        <v>1061</v>
      </c>
      <c r="L26" s="646">
        <v>-566</v>
      </c>
      <c r="M26" s="645">
        <v>15392</v>
      </c>
      <c r="N26" s="646">
        <v>7188</v>
      </c>
      <c r="O26" s="601">
        <f>(M26+N26)/(G26+H26+K26+L26)</f>
        <v>0.64422675823625852</v>
      </c>
      <c r="P26" s="586">
        <f t="shared" si="3"/>
        <v>7011.9049238205771</v>
      </c>
      <c r="Q26" s="586">
        <f t="shared" si="4"/>
        <v>5457.8655356038871</v>
      </c>
      <c r="R26" s="4">
        <f t="shared" si="2"/>
        <v>12469.770459424464</v>
      </c>
      <c r="S26" s="61"/>
    </row>
    <row r="27" spans="2:23" x14ac:dyDescent="0.25">
      <c r="B27" s="2" t="s">
        <v>4</v>
      </c>
      <c r="C27" s="551">
        <v>3125</v>
      </c>
      <c r="D27" s="4">
        <v>9102.5800034357726</v>
      </c>
      <c r="E27" s="4">
        <v>3782.9735130245135</v>
      </c>
      <c r="F27" s="4"/>
      <c r="G27" s="414">
        <v>5955.5075427018619</v>
      </c>
      <c r="H27" s="416">
        <v>3810.2708421648103</v>
      </c>
      <c r="I27" s="725">
        <v>0</v>
      </c>
      <c r="J27" s="725">
        <f t="shared" si="1"/>
        <v>9765.7783848666732</v>
      </c>
      <c r="K27" s="645">
        <v>1586</v>
      </c>
      <c r="L27" s="646">
        <v>681</v>
      </c>
      <c r="M27" s="645">
        <v>4071</v>
      </c>
      <c r="N27" s="646">
        <v>1407</v>
      </c>
      <c r="O27" s="601">
        <f>(M27+N27)/(G27+H27+K27+L27)</f>
        <v>0.45525645239918527</v>
      </c>
      <c r="P27" s="586">
        <f t="shared" si="3"/>
        <v>3470.5075427018619</v>
      </c>
      <c r="Q27" s="586">
        <f t="shared" si="4"/>
        <v>3084.2708421648103</v>
      </c>
      <c r="R27" s="4">
        <f t="shared" si="2"/>
        <v>6554.7783848666722</v>
      </c>
      <c r="S27" s="61"/>
    </row>
    <row r="28" spans="2:23" ht="15.75" thickBot="1" x14ac:dyDescent="0.3">
      <c r="B28" s="18" t="s">
        <v>5</v>
      </c>
      <c r="C28" s="553">
        <v>3127</v>
      </c>
      <c r="D28" s="4">
        <v>4351.8850578486245</v>
      </c>
      <c r="E28" s="4">
        <v>5698.8808515811852</v>
      </c>
      <c r="F28" s="747"/>
      <c r="G28" s="565">
        <v>2847.2899196937983</v>
      </c>
      <c r="H28" s="564">
        <v>3030.2237253378457</v>
      </c>
      <c r="I28" s="564">
        <v>0</v>
      </c>
      <c r="J28" s="564">
        <f t="shared" si="1"/>
        <v>5877.513645031644</v>
      </c>
      <c r="K28" s="647">
        <v>280</v>
      </c>
      <c r="L28" s="648">
        <v>104</v>
      </c>
      <c r="M28" s="647">
        <v>1573</v>
      </c>
      <c r="N28" s="648">
        <v>2077</v>
      </c>
      <c r="O28" s="604">
        <f>(M28+N28)/(G28+H28+K28+L28)</f>
        <v>0.58292614324911429</v>
      </c>
      <c r="P28" s="707">
        <f t="shared" si="3"/>
        <v>1554.2899196937983</v>
      </c>
      <c r="Q28" s="589">
        <f t="shared" si="4"/>
        <v>1057.2237253378457</v>
      </c>
      <c r="R28" s="560">
        <f t="shared" si="2"/>
        <v>2611.513645031644</v>
      </c>
      <c r="S28" s="61"/>
      <c r="T28" s="415"/>
    </row>
    <row r="29" spans="2:23" x14ac:dyDescent="0.25">
      <c r="B29" s="20" t="s">
        <v>54</v>
      </c>
      <c r="C29" s="550">
        <v>3130</v>
      </c>
      <c r="D29" s="425"/>
      <c r="E29" s="24" t="s">
        <v>185</v>
      </c>
      <c r="F29" s="24"/>
      <c r="G29" s="425">
        <v>0</v>
      </c>
      <c r="H29" s="24">
        <v>0</v>
      </c>
      <c r="I29" s="24"/>
      <c r="J29" s="24">
        <f t="shared" si="1"/>
        <v>0</v>
      </c>
      <c r="K29" s="643"/>
      <c r="L29" s="644"/>
      <c r="M29" s="643"/>
      <c r="N29" s="650"/>
      <c r="O29" s="605">
        <v>1.8100000000000002E-2</v>
      </c>
      <c r="P29" s="706">
        <f t="shared" si="3"/>
        <v>0</v>
      </c>
      <c r="Q29" s="706">
        <f t="shared" si="4"/>
        <v>0</v>
      </c>
      <c r="R29" s="759">
        <f t="shared" si="2"/>
        <v>0</v>
      </c>
      <c r="S29" s="61"/>
    </row>
    <row r="30" spans="2:23" x14ac:dyDescent="0.25">
      <c r="B30" s="2" t="s">
        <v>31</v>
      </c>
      <c r="C30" s="551">
        <v>3131</v>
      </c>
      <c r="D30" s="4">
        <v>8355.082906939866</v>
      </c>
      <c r="E30" s="4">
        <v>10610.696623494394</v>
      </c>
      <c r="F30" s="462">
        <v>17.23676</v>
      </c>
      <c r="G30" s="414">
        <v>5751.3506948907134</v>
      </c>
      <c r="H30" s="416">
        <v>6872.6573057125297</v>
      </c>
      <c r="I30" s="725">
        <v>17.23676</v>
      </c>
      <c r="J30" s="725">
        <f t="shared" si="1"/>
        <v>12641.244760603244</v>
      </c>
      <c r="K30" s="645">
        <v>-809</v>
      </c>
      <c r="L30" s="646">
        <v>-426</v>
      </c>
      <c r="M30" s="645">
        <v>3182</v>
      </c>
      <c r="N30" s="646">
        <v>3962</v>
      </c>
      <c r="O30" s="601">
        <f>(M30+N30)/(G30+H30+K30+L30)</f>
        <v>0.62727148840545222</v>
      </c>
      <c r="P30" s="586">
        <f t="shared" si="3"/>
        <v>1760.3506948907134</v>
      </c>
      <c r="Q30" s="586">
        <f t="shared" si="4"/>
        <v>2501.8940657125295</v>
      </c>
      <c r="R30" s="4">
        <f t="shared" si="2"/>
        <v>4262.2447606032429</v>
      </c>
      <c r="S30" s="61"/>
      <c r="T30" s="61"/>
      <c r="U30" s="61"/>
      <c r="V30" s="61"/>
      <c r="W30" s="61"/>
    </row>
    <row r="31" spans="2:23" x14ac:dyDescent="0.25">
      <c r="B31" s="2" t="s">
        <v>32</v>
      </c>
      <c r="C31" s="552">
        <v>3132</v>
      </c>
      <c r="D31" s="4">
        <v>37851.652571337654</v>
      </c>
      <c r="E31" s="4">
        <v>19181.564711162169</v>
      </c>
      <c r="F31" s="4"/>
      <c r="G31" s="414">
        <v>1849.5528891682006</v>
      </c>
      <c r="H31" s="416">
        <v>10537.096694581742</v>
      </c>
      <c r="I31" s="725">
        <v>0</v>
      </c>
      <c r="J31" s="725">
        <f t="shared" si="1"/>
        <v>12386.649583749942</v>
      </c>
      <c r="K31" s="645">
        <v>-211</v>
      </c>
      <c r="L31" s="646">
        <v>-211</v>
      </c>
      <c r="M31" s="645">
        <v>1401</v>
      </c>
      <c r="N31" s="646">
        <v>5372</v>
      </c>
      <c r="O31" s="601">
        <f>(M31+N31)/(G31+H31+K31+L31)</f>
        <v>0.56608427623312108</v>
      </c>
      <c r="P31" s="586">
        <f t="shared" si="3"/>
        <v>237.55288916820064</v>
      </c>
      <c r="Q31" s="586">
        <f t="shared" si="4"/>
        <v>4954.0966945817418</v>
      </c>
      <c r="R31" s="4">
        <f t="shared" si="2"/>
        <v>5191.6495837499424</v>
      </c>
      <c r="S31" s="61"/>
      <c r="U31" s="61"/>
    </row>
    <row r="32" spans="2:23" x14ac:dyDescent="0.25">
      <c r="B32" s="2" t="s">
        <v>33</v>
      </c>
      <c r="C32" s="551">
        <v>3133</v>
      </c>
      <c r="D32" s="4">
        <v>8822.5272614428177</v>
      </c>
      <c r="E32" s="4">
        <v>10767.473501067387</v>
      </c>
      <c r="F32" s="4"/>
      <c r="G32" s="414">
        <v>5772.2785882006283</v>
      </c>
      <c r="H32" s="416">
        <v>6824.2033013480159</v>
      </c>
      <c r="I32" s="725">
        <v>0</v>
      </c>
      <c r="J32" s="725">
        <f t="shared" si="1"/>
        <v>12596.481889548644</v>
      </c>
      <c r="K32" s="645">
        <v>-187</v>
      </c>
      <c r="L32" s="646">
        <v>-198</v>
      </c>
      <c r="M32" s="645">
        <v>3589</v>
      </c>
      <c r="N32" s="646">
        <v>5304</v>
      </c>
      <c r="O32" s="601">
        <f>(M32+N32)/(G32+H32+K32+L32)</f>
        <v>0.72824904302656257</v>
      </c>
      <c r="P32" s="586">
        <f t="shared" si="3"/>
        <v>1996.2785882006283</v>
      </c>
      <c r="Q32" s="586">
        <f t="shared" si="4"/>
        <v>1322.2033013480159</v>
      </c>
      <c r="R32" s="4">
        <f t="shared" si="2"/>
        <v>3318.4818895486442</v>
      </c>
      <c r="S32" s="61"/>
    </row>
    <row r="33" spans="2:21" x14ac:dyDescent="0.25">
      <c r="B33" s="2" t="s">
        <v>34</v>
      </c>
      <c r="C33" s="551">
        <v>3134</v>
      </c>
      <c r="D33" s="4">
        <v>12735.849462388565</v>
      </c>
      <c r="E33" s="4">
        <v>11441.497277834949</v>
      </c>
      <c r="F33" s="4"/>
      <c r="G33" s="414">
        <v>8332.6317931115718</v>
      </c>
      <c r="H33" s="416">
        <v>7410.7754320946951</v>
      </c>
      <c r="I33" s="725">
        <v>0</v>
      </c>
      <c r="J33" s="725">
        <f t="shared" si="1"/>
        <v>15743.407225206267</v>
      </c>
      <c r="K33" s="645">
        <v>845</v>
      </c>
      <c r="L33" s="646">
        <v>-139</v>
      </c>
      <c r="M33" s="645">
        <v>4572</v>
      </c>
      <c r="N33" s="646">
        <v>4364</v>
      </c>
      <c r="O33" s="601">
        <f>(M33+N33)/(G33+H33+K33+L33)</f>
        <v>0.54324146017291797</v>
      </c>
      <c r="P33" s="758">
        <f t="shared" si="3"/>
        <v>4605.6317931115718</v>
      </c>
      <c r="Q33" s="758">
        <f t="shared" si="4"/>
        <v>2907.7754320946951</v>
      </c>
      <c r="R33" s="4">
        <f t="shared" si="2"/>
        <v>7513.407225206267</v>
      </c>
      <c r="S33" s="61"/>
    </row>
    <row r="34" spans="2:21" ht="15.75" thickBot="1" x14ac:dyDescent="0.3">
      <c r="B34" s="18" t="s">
        <v>35</v>
      </c>
      <c r="C34" s="553">
        <v>3135</v>
      </c>
      <c r="D34" s="4">
        <v>2216.9547795733552</v>
      </c>
      <c r="E34" s="4">
        <v>21223.04827703839</v>
      </c>
      <c r="F34" s="747"/>
      <c r="G34" s="565">
        <v>1450.4778762278991</v>
      </c>
      <c r="H34" s="564">
        <v>8552.3865914057496</v>
      </c>
      <c r="I34" s="564">
        <v>0</v>
      </c>
      <c r="J34" s="564">
        <f t="shared" si="1"/>
        <v>10002.864467633648</v>
      </c>
      <c r="K34" s="647">
        <v>206</v>
      </c>
      <c r="L34" s="648">
        <v>43</v>
      </c>
      <c r="M34" s="647">
        <v>397</v>
      </c>
      <c r="N34" s="648">
        <v>4583</v>
      </c>
      <c r="O34" s="604">
        <f>(M34+N34)/(G34+H34+K34+L34)</f>
        <v>0.485765298177951</v>
      </c>
      <c r="P34" s="707">
        <f t="shared" si="3"/>
        <v>1259.4778762278991</v>
      </c>
      <c r="Q34" s="589">
        <f t="shared" si="4"/>
        <v>4012.3865914057496</v>
      </c>
      <c r="R34" s="560">
        <f t="shared" si="2"/>
        <v>5271.8644676336489</v>
      </c>
      <c r="S34" s="61"/>
    </row>
    <row r="35" spans="2:21" x14ac:dyDescent="0.25">
      <c r="B35" s="20" t="s">
        <v>6</v>
      </c>
      <c r="C35" s="550">
        <v>3140</v>
      </c>
      <c r="D35" s="425"/>
      <c r="E35" s="24" t="s">
        <v>185</v>
      </c>
      <c r="F35" s="24"/>
      <c r="G35" s="425">
        <v>0</v>
      </c>
      <c r="H35" s="24">
        <v>0</v>
      </c>
      <c r="I35" s="24"/>
      <c r="J35" s="24">
        <f t="shared" si="1"/>
        <v>0</v>
      </c>
      <c r="K35" s="643"/>
      <c r="L35" s="644"/>
      <c r="M35" s="643"/>
      <c r="N35" s="644"/>
      <c r="O35" s="605"/>
      <c r="P35" s="706">
        <f t="shared" si="3"/>
        <v>0</v>
      </c>
      <c r="Q35" s="706">
        <f t="shared" si="4"/>
        <v>0</v>
      </c>
      <c r="R35" s="574">
        <f t="shared" si="2"/>
        <v>0</v>
      </c>
      <c r="S35" s="61"/>
    </row>
    <row r="36" spans="2:21" x14ac:dyDescent="0.25">
      <c r="B36" s="2" t="s">
        <v>36</v>
      </c>
      <c r="C36" s="551">
        <v>3141</v>
      </c>
      <c r="D36" s="4">
        <v>11923.41069204162</v>
      </c>
      <c r="E36" s="4">
        <v>14195.544314382179</v>
      </c>
      <c r="F36" s="462">
        <v>33.911000000000001</v>
      </c>
      <c r="G36" s="414">
        <v>7801.0808237206556</v>
      </c>
      <c r="H36" s="416">
        <v>9227.0113156844654</v>
      </c>
      <c r="I36" s="725">
        <v>33.911000000000001</v>
      </c>
      <c r="J36" s="725">
        <f t="shared" si="1"/>
        <v>17062.003139405122</v>
      </c>
      <c r="K36" s="645">
        <v>-140</v>
      </c>
      <c r="L36" s="646">
        <v>-406</v>
      </c>
      <c r="M36" s="645">
        <v>4243</v>
      </c>
      <c r="N36" s="646">
        <v>5658</v>
      </c>
      <c r="O36" s="601">
        <f>(M36+N36)/(G36+H36+K36+L36)</f>
        <v>0.60071257436602044</v>
      </c>
      <c r="P36" s="586">
        <f t="shared" si="3"/>
        <v>3418.0808237206556</v>
      </c>
      <c r="Q36" s="586">
        <f t="shared" si="4"/>
        <v>3196.9223156844655</v>
      </c>
      <c r="R36" s="4">
        <f t="shared" si="2"/>
        <v>6615.0031394051211</v>
      </c>
      <c r="S36" s="61"/>
    </row>
    <row r="37" spans="2:21" x14ac:dyDescent="0.25">
      <c r="B37" s="2" t="s">
        <v>7</v>
      </c>
      <c r="C37" s="551">
        <v>3142</v>
      </c>
      <c r="D37" s="4">
        <v>19090.035929966096</v>
      </c>
      <c r="E37" s="4">
        <v>18793.234262137346</v>
      </c>
      <c r="F37" s="4"/>
      <c r="G37" s="414">
        <v>12489.9592124925</v>
      </c>
      <c r="H37" s="416">
        <v>11462.857069806865</v>
      </c>
      <c r="I37" s="725">
        <v>0</v>
      </c>
      <c r="J37" s="725">
        <f t="shared" si="1"/>
        <v>23952.816282299365</v>
      </c>
      <c r="K37" s="645">
        <v>-3914</v>
      </c>
      <c r="L37" s="646">
        <v>138</v>
      </c>
      <c r="M37" s="645">
        <v>5888</v>
      </c>
      <c r="N37" s="646">
        <v>3164</v>
      </c>
      <c r="O37" s="601">
        <f>(M37+N37)/(G37+H37+K37+L37)</f>
        <v>0.44863371273995795</v>
      </c>
      <c r="P37" s="586">
        <f t="shared" si="3"/>
        <v>2687.9592124925002</v>
      </c>
      <c r="Q37" s="586">
        <f t="shared" si="4"/>
        <v>8436.8570698068652</v>
      </c>
      <c r="R37" s="4">
        <f t="shared" si="2"/>
        <v>11124.816282299365</v>
      </c>
      <c r="S37" s="61"/>
    </row>
    <row r="38" spans="2:21" x14ac:dyDescent="0.25">
      <c r="B38" s="2" t="s">
        <v>37</v>
      </c>
      <c r="C38" s="551">
        <v>3143</v>
      </c>
      <c r="D38" s="4">
        <v>22738.729571130658</v>
      </c>
      <c r="E38" s="4">
        <v>11093.617987377351</v>
      </c>
      <c r="F38" s="4"/>
      <c r="G38" s="414">
        <v>14877.174979095151</v>
      </c>
      <c r="H38" s="416">
        <v>7185.4504386559383</v>
      </c>
      <c r="I38" s="725">
        <v>0</v>
      </c>
      <c r="J38" s="725">
        <f t="shared" si="1"/>
        <v>22062.625417751089</v>
      </c>
      <c r="K38" s="645">
        <v>4</v>
      </c>
      <c r="L38" s="646">
        <v>-21</v>
      </c>
      <c r="M38" s="645">
        <v>7486</v>
      </c>
      <c r="N38" s="646">
        <v>4646</v>
      </c>
      <c r="O38" s="601">
        <f>(M38+N38)/(G38+H38+K38+L38)</f>
        <v>0.55031326034558037</v>
      </c>
      <c r="P38" s="586">
        <f t="shared" si="3"/>
        <v>7395.1749790951508</v>
      </c>
      <c r="Q38" s="586">
        <f t="shared" si="4"/>
        <v>2518.4504386559383</v>
      </c>
      <c r="R38" s="4">
        <f t="shared" si="2"/>
        <v>9913.6254177510891</v>
      </c>
      <c r="S38" s="61"/>
    </row>
    <row r="39" spans="2:21" x14ac:dyDescent="0.25">
      <c r="B39" s="2" t="s">
        <v>38</v>
      </c>
      <c r="C39" s="551">
        <v>3144</v>
      </c>
      <c r="D39" s="4">
        <v>7548.7240831422087</v>
      </c>
      <c r="E39" s="4">
        <v>12267.189144026674</v>
      </c>
      <c r="F39" s="4">
        <v>8.4591799999999999</v>
      </c>
      <c r="G39" s="414">
        <v>4938.8726270969091</v>
      </c>
      <c r="H39" s="416">
        <v>8122.8872438626204</v>
      </c>
      <c r="I39" s="725">
        <v>8.4591799999999999</v>
      </c>
      <c r="J39" s="725">
        <f t="shared" si="1"/>
        <v>13070.219050959529</v>
      </c>
      <c r="K39" s="645">
        <v>447</v>
      </c>
      <c r="L39" s="646">
        <v>143</v>
      </c>
      <c r="M39" s="645">
        <v>4528</v>
      </c>
      <c r="N39" s="646">
        <v>3034</v>
      </c>
      <c r="O39" s="601">
        <f>(M39+N39)/(G39+H39+K39+L39)</f>
        <v>0.5539212578801751</v>
      </c>
      <c r="P39" s="586">
        <f t="shared" si="3"/>
        <v>857.87262709690913</v>
      </c>
      <c r="Q39" s="586">
        <f t="shared" si="4"/>
        <v>5240.3464238626202</v>
      </c>
      <c r="R39" s="4">
        <f t="shared" si="2"/>
        <v>6098.2190509595293</v>
      </c>
      <c r="S39" s="61"/>
    </row>
    <row r="40" spans="2:21" ht="15.75" thickBot="1" x14ac:dyDescent="0.3">
      <c r="B40" s="18" t="s">
        <v>39</v>
      </c>
      <c r="C40" s="553">
        <v>3145</v>
      </c>
      <c r="D40" s="4">
        <v>7915.1378158877569</v>
      </c>
      <c r="E40" s="4">
        <v>17134.71103741851</v>
      </c>
      <c r="F40" s="747"/>
      <c r="G40" s="565">
        <v>5178.6046314618243</v>
      </c>
      <c r="H40" s="564">
        <v>11098.328523674774</v>
      </c>
      <c r="I40" s="564">
        <v>0</v>
      </c>
      <c r="J40" s="564">
        <f t="shared" si="1"/>
        <v>16276.933155136598</v>
      </c>
      <c r="K40" s="647">
        <v>2108</v>
      </c>
      <c r="L40" s="648">
        <v>450</v>
      </c>
      <c r="M40" s="647">
        <v>3454</v>
      </c>
      <c r="N40" s="648">
        <v>6311</v>
      </c>
      <c r="O40" s="604">
        <f>(M40+N40)/(G40+H40+K40+L40)</f>
        <v>0.51845153468659499</v>
      </c>
      <c r="P40" s="707">
        <f t="shared" si="3"/>
        <v>3832.6046314618243</v>
      </c>
      <c r="Q40" s="589">
        <f t="shared" si="4"/>
        <v>5237.3285236747743</v>
      </c>
      <c r="R40" s="560">
        <f t="shared" si="2"/>
        <v>9069.9331551365976</v>
      </c>
      <c r="S40" s="61"/>
    </row>
    <row r="41" spans="2:21" x14ac:dyDescent="0.25">
      <c r="B41" s="20" t="s">
        <v>53</v>
      </c>
      <c r="C41" s="550">
        <v>3150</v>
      </c>
      <c r="D41" s="425"/>
      <c r="E41" s="24" t="s">
        <v>185</v>
      </c>
      <c r="F41" s="24"/>
      <c r="G41" s="425">
        <v>0</v>
      </c>
      <c r="H41" s="24">
        <v>0</v>
      </c>
      <c r="I41" s="24"/>
      <c r="J41" s="24">
        <f t="shared" si="1"/>
        <v>0</v>
      </c>
      <c r="K41" s="643"/>
      <c r="L41" s="644"/>
      <c r="M41" s="643"/>
      <c r="N41" s="644"/>
      <c r="O41" s="605"/>
      <c r="P41" s="706">
        <f t="shared" si="3"/>
        <v>0</v>
      </c>
      <c r="Q41" s="706">
        <f t="shared" si="4"/>
        <v>0</v>
      </c>
      <c r="R41" s="574">
        <f t="shared" si="2"/>
        <v>0</v>
      </c>
    </row>
    <row r="42" spans="2:21" x14ac:dyDescent="0.25">
      <c r="B42" s="2" t="s">
        <v>40</v>
      </c>
      <c r="C42" s="551">
        <v>3151</v>
      </c>
      <c r="D42" s="4">
        <v>4498.4781588229689</v>
      </c>
      <c r="E42" s="4">
        <v>32745.641690522472</v>
      </c>
      <c r="F42" s="462">
        <v>31.989909999999998</v>
      </c>
      <c r="G42" s="414">
        <v>2943.2007843312122</v>
      </c>
      <c r="H42" s="416">
        <v>21209.68882441755</v>
      </c>
      <c r="I42" s="725">
        <v>31.989909999999998</v>
      </c>
      <c r="J42" s="725">
        <f t="shared" si="1"/>
        <v>24184.879518748763</v>
      </c>
      <c r="K42" s="645">
        <v>501</v>
      </c>
      <c r="L42" s="646">
        <v>117</v>
      </c>
      <c r="M42" s="645">
        <v>1344</v>
      </c>
      <c r="N42" s="646">
        <v>12350</v>
      </c>
      <c r="O42" s="601">
        <f t="shared" ref="O42:O61" si="5">(M42+N42)/(G42+H42+K42+L42)</f>
        <v>0.5528263302729125</v>
      </c>
      <c r="P42" s="586">
        <f t="shared" si="3"/>
        <v>2100.2007843312122</v>
      </c>
      <c r="Q42" s="586">
        <f t="shared" si="4"/>
        <v>9008.67873441755</v>
      </c>
      <c r="R42" s="4">
        <f t="shared" si="2"/>
        <v>11108.879518748763</v>
      </c>
      <c r="S42" s="61"/>
    </row>
    <row r="43" spans="2:21" x14ac:dyDescent="0.25">
      <c r="B43" s="2" t="s">
        <v>41</v>
      </c>
      <c r="C43" s="551">
        <v>3152</v>
      </c>
      <c r="D43" s="4">
        <v>4870.7268237922563</v>
      </c>
      <c r="E43" s="4">
        <v>8113.6763984455101</v>
      </c>
      <c r="F43" s="4">
        <v>2.2288899999999998</v>
      </c>
      <c r="G43" s="414">
        <v>3186.7503857792099</v>
      </c>
      <c r="H43" s="416">
        <v>5255.311630764515</v>
      </c>
      <c r="I43" s="725">
        <v>2.2288899999999998</v>
      </c>
      <c r="J43" s="725">
        <f t="shared" si="1"/>
        <v>8444.2909065437252</v>
      </c>
      <c r="K43" s="645">
        <v>-67</v>
      </c>
      <c r="L43" s="646">
        <v>-67</v>
      </c>
      <c r="M43" s="645">
        <v>1126</v>
      </c>
      <c r="N43" s="646">
        <v>4606</v>
      </c>
      <c r="O43" s="601">
        <f t="shared" si="5"/>
        <v>0.68993225960349724</v>
      </c>
      <c r="P43" s="586">
        <f t="shared" si="3"/>
        <v>1993.7503857792099</v>
      </c>
      <c r="Q43" s="586">
        <f t="shared" si="4"/>
        <v>584.54052076451535</v>
      </c>
      <c r="R43" s="4">
        <f t="shared" si="2"/>
        <v>2578.2909065437252</v>
      </c>
      <c r="S43" s="61"/>
    </row>
    <row r="44" spans="2:21" x14ac:dyDescent="0.25">
      <c r="B44" s="2" t="s">
        <v>8</v>
      </c>
      <c r="C44" s="551">
        <v>3153</v>
      </c>
      <c r="D44" s="4">
        <v>5026.0419891213405</v>
      </c>
      <c r="E44" s="4">
        <v>8935.291116013721</v>
      </c>
      <c r="F44" s="4"/>
      <c r="G44" s="414">
        <v>3288.3677995524713</v>
      </c>
      <c r="H44" s="416">
        <v>5787.479931446408</v>
      </c>
      <c r="I44" s="725">
        <v>0</v>
      </c>
      <c r="J44" s="725">
        <f t="shared" si="1"/>
        <v>9075.8477309988793</v>
      </c>
      <c r="K44" s="645">
        <v>-26</v>
      </c>
      <c r="L44" s="646">
        <v>-33</v>
      </c>
      <c r="M44" s="645">
        <v>1933</v>
      </c>
      <c r="N44" s="646">
        <v>3999</v>
      </c>
      <c r="O44" s="601">
        <f t="shared" si="5"/>
        <v>0.65787958020034765</v>
      </c>
      <c r="P44" s="758">
        <f t="shared" si="3"/>
        <v>1329.3677995524713</v>
      </c>
      <c r="Q44" s="758">
        <f t="shared" si="4"/>
        <v>1755.479931446408</v>
      </c>
      <c r="R44" s="4">
        <f t="shared" si="2"/>
        <v>3084.8477309988793</v>
      </c>
      <c r="S44" s="61"/>
    </row>
    <row r="45" spans="2:21" ht="15.75" thickBot="1" x14ac:dyDescent="0.3">
      <c r="B45" s="368" t="s">
        <v>42</v>
      </c>
      <c r="C45" s="554">
        <v>3154</v>
      </c>
      <c r="D45" s="4">
        <v>3155.2296882013679</v>
      </c>
      <c r="E45" s="4">
        <v>20565.040946677844</v>
      </c>
      <c r="F45" s="747"/>
      <c r="G45" s="565">
        <v>2064.3591377331945</v>
      </c>
      <c r="H45" s="418">
        <v>13320.18847768327</v>
      </c>
      <c r="I45" s="726">
        <v>0</v>
      </c>
      <c r="J45" s="726">
        <f t="shared" si="1"/>
        <v>15384.547615416464</v>
      </c>
      <c r="K45" s="647">
        <v>-33</v>
      </c>
      <c r="L45" s="648">
        <v>-30</v>
      </c>
      <c r="M45" s="647">
        <v>661</v>
      </c>
      <c r="N45" s="648">
        <v>7149</v>
      </c>
      <c r="O45" s="604">
        <f t="shared" si="5"/>
        <v>0.50973962918351778</v>
      </c>
      <c r="P45" s="707">
        <f t="shared" si="3"/>
        <v>1370.3591377331945</v>
      </c>
      <c r="Q45" s="589">
        <f t="shared" si="4"/>
        <v>6141.1884776832703</v>
      </c>
      <c r="R45" s="560">
        <f t="shared" si="2"/>
        <v>7511.5476154164644</v>
      </c>
      <c r="S45" s="61"/>
    </row>
    <row r="46" spans="2:21" x14ac:dyDescent="0.25">
      <c r="B46" s="20" t="s">
        <v>170</v>
      </c>
      <c r="C46" s="550" t="s">
        <v>169</v>
      </c>
      <c r="D46" s="425">
        <v>41.506932408820127</v>
      </c>
      <c r="E46" s="24">
        <v>0</v>
      </c>
      <c r="F46" s="24"/>
      <c r="G46" s="425">
        <v>27.156569779319803</v>
      </c>
      <c r="H46" s="24">
        <v>0</v>
      </c>
      <c r="I46" s="24">
        <v>0</v>
      </c>
      <c r="J46" s="24">
        <f t="shared" si="1"/>
        <v>27.156569779319803</v>
      </c>
      <c r="K46" s="649"/>
      <c r="L46" s="650"/>
      <c r="M46" s="649">
        <v>4763</v>
      </c>
      <c r="N46" s="650">
        <v>96</v>
      </c>
      <c r="O46" s="605">
        <f t="shared" si="5"/>
        <v>178.92539593495391</v>
      </c>
      <c r="P46" s="705">
        <f t="shared" si="3"/>
        <v>-4735.8434302206806</v>
      </c>
      <c r="Q46" s="705">
        <f t="shared" si="4"/>
        <v>-96</v>
      </c>
      <c r="R46" s="714">
        <f t="shared" si="2"/>
        <v>-4831.8434302206806</v>
      </c>
      <c r="S46" s="61"/>
      <c r="U46" s="61"/>
    </row>
    <row r="47" spans="2:21" x14ac:dyDescent="0.25">
      <c r="B47" s="2" t="s">
        <v>149</v>
      </c>
      <c r="C47" s="551">
        <v>3701</v>
      </c>
      <c r="D47" s="4">
        <v>3629.0089693045857</v>
      </c>
      <c r="E47" s="4">
        <v>0</v>
      </c>
      <c r="F47" s="462"/>
      <c r="G47" s="414">
        <v>2374.3367573883988</v>
      </c>
      <c r="H47" s="416">
        <v>1854</v>
      </c>
      <c r="I47" s="725">
        <v>0</v>
      </c>
      <c r="J47" s="725">
        <f t="shared" si="1"/>
        <v>4228.3367573883988</v>
      </c>
      <c r="K47" s="645">
        <v>741</v>
      </c>
      <c r="L47" s="646">
        <v>0</v>
      </c>
      <c r="M47" s="645">
        <v>2023</v>
      </c>
      <c r="N47" s="646">
        <v>1005</v>
      </c>
      <c r="O47" s="601">
        <f t="shared" si="5"/>
        <v>0.60933684872492822</v>
      </c>
      <c r="P47" s="586">
        <f t="shared" si="3"/>
        <v>1092.3367573883988</v>
      </c>
      <c r="Q47" s="586">
        <f t="shared" si="4"/>
        <v>849</v>
      </c>
      <c r="R47" s="4">
        <f t="shared" si="2"/>
        <v>1941.3367573883988</v>
      </c>
      <c r="S47" s="61"/>
    </row>
    <row r="48" spans="2:21" x14ac:dyDescent="0.25">
      <c r="B48" s="2" t="s">
        <v>148</v>
      </c>
      <c r="C48" s="551">
        <v>3702</v>
      </c>
      <c r="D48" s="4">
        <v>13382.856850208111</v>
      </c>
      <c r="E48" s="4">
        <v>0</v>
      </c>
      <c r="F48" s="4"/>
      <c r="G48" s="414">
        <v>8755.9466529522688</v>
      </c>
      <c r="H48" s="416">
        <v>700</v>
      </c>
      <c r="I48" s="725">
        <v>0</v>
      </c>
      <c r="J48" s="725">
        <f t="shared" si="1"/>
        <v>9455.9466529522688</v>
      </c>
      <c r="K48" s="645">
        <v>-355</v>
      </c>
      <c r="L48" s="646">
        <v>97</v>
      </c>
      <c r="M48" s="645">
        <v>3919</v>
      </c>
      <c r="N48" s="646">
        <v>254</v>
      </c>
      <c r="O48" s="601">
        <f t="shared" si="5"/>
        <v>0.45368821514751778</v>
      </c>
      <c r="P48" s="586">
        <f t="shared" si="3"/>
        <v>4481.9466529522688</v>
      </c>
      <c r="Q48" s="586">
        <f t="shared" si="4"/>
        <v>543</v>
      </c>
      <c r="R48" s="4">
        <f t="shared" si="2"/>
        <v>5024.9466529522688</v>
      </c>
      <c r="S48" s="61"/>
    </row>
    <row r="49" spans="2:21" x14ac:dyDescent="0.25">
      <c r="B49" s="2" t="s">
        <v>25</v>
      </c>
      <c r="C49" s="551">
        <v>3703</v>
      </c>
      <c r="D49" s="4">
        <v>16820.980481953437</v>
      </c>
      <c r="E49" s="4">
        <v>0</v>
      </c>
      <c r="F49" s="4"/>
      <c r="G49" s="414">
        <v>11005.393646427989</v>
      </c>
      <c r="H49" s="416">
        <v>610</v>
      </c>
      <c r="I49" s="725">
        <v>0</v>
      </c>
      <c r="J49" s="725">
        <f t="shared" si="1"/>
        <v>11615.393646427989</v>
      </c>
      <c r="K49" s="645">
        <v>140</v>
      </c>
      <c r="L49" s="646">
        <v>61</v>
      </c>
      <c r="M49" s="645">
        <v>4186</v>
      </c>
      <c r="N49" s="646">
        <v>342</v>
      </c>
      <c r="O49" s="601">
        <f t="shared" si="5"/>
        <v>0.3831964417814383</v>
      </c>
      <c r="P49" s="586">
        <f t="shared" si="3"/>
        <v>6959.3936464279886</v>
      </c>
      <c r="Q49" s="586">
        <f t="shared" si="4"/>
        <v>329</v>
      </c>
      <c r="R49" s="4">
        <f t="shared" si="2"/>
        <v>7288.3936464279886</v>
      </c>
      <c r="S49" s="61"/>
    </row>
    <row r="50" spans="2:21" x14ac:dyDescent="0.25">
      <c r="B50" s="2" t="s">
        <v>150</v>
      </c>
      <c r="C50" s="551">
        <v>3704</v>
      </c>
      <c r="D50" s="4">
        <v>7338.3535805418214</v>
      </c>
      <c r="E50" s="4">
        <v>0</v>
      </c>
      <c r="F50" s="4"/>
      <c r="G50" s="414">
        <v>4801.2343844749612</v>
      </c>
      <c r="H50" s="416">
        <v>1790</v>
      </c>
      <c r="I50" s="725">
        <v>0</v>
      </c>
      <c r="J50" s="725">
        <f t="shared" si="1"/>
        <v>6591.2343844749612</v>
      </c>
      <c r="K50" s="645">
        <v>0</v>
      </c>
      <c r="L50" s="646">
        <v>0</v>
      </c>
      <c r="M50" s="645">
        <v>2272</v>
      </c>
      <c r="N50" s="646">
        <v>1573</v>
      </c>
      <c r="O50" s="601">
        <f t="shared" si="5"/>
        <v>0.58335051914654101</v>
      </c>
      <c r="P50" s="586">
        <f t="shared" si="3"/>
        <v>2529.2343844749612</v>
      </c>
      <c r="Q50" s="586">
        <f t="shared" si="4"/>
        <v>217</v>
      </c>
      <c r="R50" s="4">
        <f t="shared" si="2"/>
        <v>2746.2343844749612</v>
      </c>
      <c r="S50" s="61"/>
    </row>
    <row r="51" spans="2:21" x14ac:dyDescent="0.25">
      <c r="B51" s="368" t="s">
        <v>151</v>
      </c>
      <c r="C51" s="554">
        <v>3705</v>
      </c>
      <c r="D51" s="4">
        <v>15408.590914953131</v>
      </c>
      <c r="E51" s="4">
        <v>8671.8550016571007</v>
      </c>
      <c r="F51" s="4"/>
      <c r="G51" s="414">
        <v>10081.315339362427</v>
      </c>
      <c r="H51" s="416">
        <v>6360.8496514407871</v>
      </c>
      <c r="I51" s="726">
        <v>0</v>
      </c>
      <c r="J51" s="726">
        <f t="shared" si="1"/>
        <v>16442.164990803212</v>
      </c>
      <c r="K51" s="645">
        <v>0</v>
      </c>
      <c r="L51" s="646">
        <v>0</v>
      </c>
      <c r="M51" s="645">
        <v>5131</v>
      </c>
      <c r="N51" s="646">
        <v>1326</v>
      </c>
      <c r="O51" s="601">
        <f t="shared" si="5"/>
        <v>0.39270984104658169</v>
      </c>
      <c r="P51" s="586">
        <f t="shared" si="3"/>
        <v>4950.315339362427</v>
      </c>
      <c r="Q51" s="586">
        <f t="shared" si="4"/>
        <v>5034.8496514407871</v>
      </c>
      <c r="R51" s="4">
        <f t="shared" si="2"/>
        <v>9985.1649908032141</v>
      </c>
      <c r="S51" s="61"/>
    </row>
    <row r="52" spans="2:21" s="61" customFormat="1" ht="15.75" thickBot="1" x14ac:dyDescent="0.3">
      <c r="B52" s="18" t="s">
        <v>127</v>
      </c>
      <c r="C52" s="553">
        <v>3706</v>
      </c>
      <c r="D52" s="4">
        <v>2365.4623851400556</v>
      </c>
      <c r="E52" s="4">
        <v>0</v>
      </c>
      <c r="F52" s="747"/>
      <c r="G52" s="565">
        <v>1547.6413359027654</v>
      </c>
      <c r="H52" s="561">
        <v>696</v>
      </c>
      <c r="I52" s="727">
        <v>0</v>
      </c>
      <c r="J52" s="727">
        <f t="shared" si="1"/>
        <v>2243.6413359027656</v>
      </c>
      <c r="K52" s="647">
        <v>0</v>
      </c>
      <c r="L52" s="648">
        <v>0</v>
      </c>
      <c r="M52" s="647">
        <v>1064</v>
      </c>
      <c r="N52" s="648">
        <v>278</v>
      </c>
      <c r="O52" s="604">
        <f t="shared" si="5"/>
        <v>0.59813481706068872</v>
      </c>
      <c r="P52" s="707">
        <f t="shared" si="3"/>
        <v>483.64133590276538</v>
      </c>
      <c r="Q52" s="589">
        <f t="shared" si="4"/>
        <v>418</v>
      </c>
      <c r="R52" s="560">
        <f t="shared" si="2"/>
        <v>901.64133590276538</v>
      </c>
    </row>
    <row r="53" spans="2:21" x14ac:dyDescent="0.25">
      <c r="B53" s="20" t="s">
        <v>172</v>
      </c>
      <c r="C53" s="550" t="s">
        <v>171</v>
      </c>
      <c r="D53" s="425">
        <v>3288.2674565194557</v>
      </c>
      <c r="E53" s="24">
        <v>0</v>
      </c>
      <c r="F53" s="24"/>
      <c r="G53" s="425">
        <v>109.4742106821318</v>
      </c>
      <c r="H53" s="24">
        <v>0</v>
      </c>
      <c r="I53" s="24">
        <v>0</v>
      </c>
      <c r="J53" s="24">
        <f t="shared" si="1"/>
        <v>109.4742106821318</v>
      </c>
      <c r="K53" s="649">
        <v>-3678</v>
      </c>
      <c r="L53" s="650">
        <v>0</v>
      </c>
      <c r="M53" s="649">
        <v>7069</v>
      </c>
      <c r="N53" s="650">
        <v>101</v>
      </c>
      <c r="O53" s="605">
        <f t="shared" si="5"/>
        <v>-2.0092330624211523</v>
      </c>
      <c r="P53" s="705">
        <f t="shared" si="3"/>
        <v>-10637.525789317868</v>
      </c>
      <c r="Q53" s="705">
        <f t="shared" si="4"/>
        <v>-101</v>
      </c>
      <c r="R53" s="714">
        <f t="shared" si="2"/>
        <v>-10738.525789317868</v>
      </c>
      <c r="S53" s="61"/>
      <c r="U53" s="61"/>
    </row>
    <row r="54" spans="2:21" x14ac:dyDescent="0.25">
      <c r="B54" s="2" t="s">
        <v>147</v>
      </c>
      <c r="C54" s="551">
        <v>3721</v>
      </c>
      <c r="D54" s="462">
        <v>7142.5942380435508</v>
      </c>
      <c r="E54" s="462">
        <v>0</v>
      </c>
      <c r="F54" s="462"/>
      <c r="G54" s="414">
        <v>8911.9667254175547</v>
      </c>
      <c r="H54" s="563">
        <v>333</v>
      </c>
      <c r="I54" s="563">
        <v>0</v>
      </c>
      <c r="J54" s="563">
        <f t="shared" si="1"/>
        <v>9244.9667254175547</v>
      </c>
      <c r="K54" s="645">
        <v>-290</v>
      </c>
      <c r="L54" s="646">
        <v>0</v>
      </c>
      <c r="M54" s="651">
        <v>4580</v>
      </c>
      <c r="N54" s="646">
        <v>18</v>
      </c>
      <c r="O54" s="601">
        <f t="shared" si="5"/>
        <v>0.51345807762179074</v>
      </c>
      <c r="P54" s="586">
        <f t="shared" si="3"/>
        <v>4041.9667254175547</v>
      </c>
      <c r="Q54" s="586">
        <f t="shared" si="4"/>
        <v>315</v>
      </c>
      <c r="R54" s="4">
        <f t="shared" si="2"/>
        <v>4356.9667254175547</v>
      </c>
      <c r="S54" s="61"/>
    </row>
    <row r="55" spans="2:21" x14ac:dyDescent="0.25">
      <c r="B55" s="2" t="s">
        <v>17</v>
      </c>
      <c r="C55" s="551">
        <v>3722</v>
      </c>
      <c r="D55" s="4">
        <v>22948.039233106796</v>
      </c>
      <c r="E55" s="4">
        <v>0</v>
      </c>
      <c r="F55" s="4"/>
      <c r="G55" s="414">
        <v>27212.893149889445</v>
      </c>
      <c r="H55" s="563">
        <v>1332</v>
      </c>
      <c r="I55" s="563">
        <v>0</v>
      </c>
      <c r="J55" s="563">
        <f t="shared" si="1"/>
        <v>28544.893149889445</v>
      </c>
      <c r="K55" s="645">
        <v>-193</v>
      </c>
      <c r="L55" s="646">
        <v>38</v>
      </c>
      <c r="M55" s="651">
        <v>14207</v>
      </c>
      <c r="N55" s="646">
        <v>382</v>
      </c>
      <c r="O55" s="601">
        <f t="shared" si="5"/>
        <v>0.51388006016700394</v>
      </c>
      <c r="P55" s="586">
        <f t="shared" si="3"/>
        <v>12812.893149889445</v>
      </c>
      <c r="Q55" s="586">
        <f t="shared" si="4"/>
        <v>988</v>
      </c>
      <c r="R55" s="4">
        <f t="shared" si="2"/>
        <v>13800.893149889445</v>
      </c>
      <c r="S55" s="61"/>
    </row>
    <row r="56" spans="2:21" x14ac:dyDescent="0.25">
      <c r="B56" s="2" t="s">
        <v>18</v>
      </c>
      <c r="C56" s="551">
        <v>3723</v>
      </c>
      <c r="D56" s="4">
        <v>13015.606260964441</v>
      </c>
      <c r="E56" s="4">
        <v>0</v>
      </c>
      <c r="F56" s="4"/>
      <c r="G56" s="414">
        <v>9248.8201219317398</v>
      </c>
      <c r="H56" s="625">
        <v>111</v>
      </c>
      <c r="I56" s="625">
        <v>0</v>
      </c>
      <c r="J56" s="625">
        <f t="shared" si="1"/>
        <v>9359.8201219317398</v>
      </c>
      <c r="K56" s="645">
        <v>-146</v>
      </c>
      <c r="L56" s="646">
        <v>315</v>
      </c>
      <c r="M56" s="651">
        <v>4839</v>
      </c>
      <c r="N56" s="646">
        <v>59</v>
      </c>
      <c r="O56" s="601">
        <f t="shared" si="5"/>
        <v>0.51401956772451363</v>
      </c>
      <c r="P56" s="586">
        <f t="shared" si="3"/>
        <v>4263.8201219317398</v>
      </c>
      <c r="Q56" s="586">
        <f t="shared" si="4"/>
        <v>367</v>
      </c>
      <c r="R56" s="4">
        <f t="shared" si="2"/>
        <v>4630.8201219317398</v>
      </c>
      <c r="S56" s="61"/>
    </row>
    <row r="57" spans="2:21" x14ac:dyDescent="0.25">
      <c r="B57" s="2" t="s">
        <v>19</v>
      </c>
      <c r="C57" s="551">
        <v>3724</v>
      </c>
      <c r="D57" s="4">
        <v>7317.7421182176604</v>
      </c>
      <c r="E57" s="4">
        <v>0</v>
      </c>
      <c r="F57" s="4"/>
      <c r="G57" s="414">
        <v>4787.749007879389</v>
      </c>
      <c r="H57" s="563">
        <v>0</v>
      </c>
      <c r="I57" s="563">
        <v>0</v>
      </c>
      <c r="J57" s="563">
        <f t="shared" si="1"/>
        <v>4787.749007879389</v>
      </c>
      <c r="K57" s="645">
        <v>394</v>
      </c>
      <c r="L57" s="646">
        <v>200</v>
      </c>
      <c r="M57" s="651">
        <v>1430</v>
      </c>
      <c r="N57" s="646">
        <v>179</v>
      </c>
      <c r="O57" s="601">
        <f t="shared" si="5"/>
        <v>0.29897343737960874</v>
      </c>
      <c r="P57" s="758">
        <f t="shared" si="3"/>
        <v>3751.749007879389</v>
      </c>
      <c r="Q57" s="758">
        <f t="shared" si="4"/>
        <v>21</v>
      </c>
      <c r="R57" s="377">
        <f t="shared" si="2"/>
        <v>3772.749007879389</v>
      </c>
      <c r="S57" s="61"/>
    </row>
    <row r="58" spans="2:21" x14ac:dyDescent="0.25">
      <c r="B58" s="2" t="s">
        <v>145</v>
      </c>
      <c r="C58" s="551">
        <v>3725</v>
      </c>
      <c r="D58" s="4">
        <v>11804.93415864622</v>
      </c>
      <c r="E58" s="4">
        <v>0</v>
      </c>
      <c r="F58" s="4"/>
      <c r="G58" s="414">
        <v>7112.8746699946614</v>
      </c>
      <c r="H58" s="563">
        <v>222</v>
      </c>
      <c r="I58" s="563">
        <v>0</v>
      </c>
      <c r="J58" s="563">
        <f t="shared" si="1"/>
        <v>7334.8746699946614</v>
      </c>
      <c r="K58" s="645">
        <v>-189</v>
      </c>
      <c r="L58" s="646">
        <v>0</v>
      </c>
      <c r="M58" s="651">
        <v>2908</v>
      </c>
      <c r="N58" s="646">
        <v>89</v>
      </c>
      <c r="O58" s="601">
        <f t="shared" si="5"/>
        <v>0.41940282168456211</v>
      </c>
      <c r="P58" s="586">
        <f t="shared" si="3"/>
        <v>4015.8746699946614</v>
      </c>
      <c r="Q58" s="586">
        <f t="shared" si="4"/>
        <v>133</v>
      </c>
      <c r="R58" s="4">
        <f t="shared" si="2"/>
        <v>4148.8746699946614</v>
      </c>
      <c r="S58" s="61"/>
    </row>
    <row r="59" spans="2:21" x14ac:dyDescent="0.25">
      <c r="B59" s="2" t="s">
        <v>21</v>
      </c>
      <c r="C59" s="551">
        <v>3726</v>
      </c>
      <c r="D59" s="4">
        <v>5984.3527693882243</v>
      </c>
      <c r="E59" s="4">
        <v>0</v>
      </c>
      <c r="F59" s="4"/>
      <c r="G59" s="414">
        <v>3915.357848305433</v>
      </c>
      <c r="H59" s="563">
        <v>150</v>
      </c>
      <c r="I59" s="563">
        <v>0</v>
      </c>
      <c r="J59" s="563">
        <f t="shared" si="1"/>
        <v>4065.357848305433</v>
      </c>
      <c r="K59" s="645">
        <v>-91</v>
      </c>
      <c r="L59" s="646">
        <v>0</v>
      </c>
      <c r="M59" s="651">
        <v>1502</v>
      </c>
      <c r="N59" s="646">
        <v>87</v>
      </c>
      <c r="O59" s="601">
        <f t="shared" si="5"/>
        <v>0.39981301650466877</v>
      </c>
      <c r="P59" s="758">
        <f t="shared" si="3"/>
        <v>2322.357848305433</v>
      </c>
      <c r="Q59" s="758">
        <f t="shared" si="4"/>
        <v>63</v>
      </c>
      <c r="R59" s="4">
        <f t="shared" si="2"/>
        <v>2385.357848305433</v>
      </c>
      <c r="S59" s="61"/>
    </row>
    <row r="60" spans="2:21" s="61" customFormat="1" x14ac:dyDescent="0.25">
      <c r="B60" s="555" t="s">
        <v>146</v>
      </c>
      <c r="C60" s="551">
        <v>3727</v>
      </c>
      <c r="D60" s="4">
        <v>9770.6525645774018</v>
      </c>
      <c r="E60" s="4">
        <v>0</v>
      </c>
      <c r="F60" s="4"/>
      <c r="G60" s="414">
        <v>15874.074626764774</v>
      </c>
      <c r="H60" s="563">
        <v>222</v>
      </c>
      <c r="I60" s="563">
        <v>0</v>
      </c>
      <c r="J60" s="563">
        <f t="shared" si="1"/>
        <v>16096.074626764774</v>
      </c>
      <c r="K60" s="645">
        <v>-280</v>
      </c>
      <c r="L60" s="646">
        <v>0</v>
      </c>
      <c r="M60" s="651">
        <v>4426</v>
      </c>
      <c r="N60" s="646">
        <v>58</v>
      </c>
      <c r="O60" s="601">
        <f t="shared" si="5"/>
        <v>0.28350903152745277</v>
      </c>
      <c r="P60" s="586">
        <f t="shared" si="3"/>
        <v>11168.074626764774</v>
      </c>
      <c r="Q60" s="586">
        <f t="shared" si="4"/>
        <v>164</v>
      </c>
      <c r="R60" s="4">
        <f t="shared" si="2"/>
        <v>11332.074626764774</v>
      </c>
    </row>
    <row r="61" spans="2:21" s="61" customFormat="1" ht="15.75" thickBot="1" x14ac:dyDescent="0.3">
      <c r="B61" s="562" t="s">
        <v>164</v>
      </c>
      <c r="C61" s="553">
        <v>3728</v>
      </c>
      <c r="D61" s="560">
        <v>4519.0541010138877</v>
      </c>
      <c r="E61" s="560">
        <v>0</v>
      </c>
      <c r="F61" s="560"/>
      <c r="G61" s="565">
        <v>3879.848921315448</v>
      </c>
      <c r="H61" s="564">
        <v>111</v>
      </c>
      <c r="I61" s="564">
        <v>0</v>
      </c>
      <c r="J61" s="564">
        <f t="shared" si="1"/>
        <v>3990.848921315448</v>
      </c>
      <c r="K61" s="647">
        <v>-102</v>
      </c>
      <c r="L61" s="648">
        <v>0</v>
      </c>
      <c r="M61" s="652">
        <v>2983</v>
      </c>
      <c r="N61" s="648">
        <v>49</v>
      </c>
      <c r="O61" s="604">
        <f t="shared" si="5"/>
        <v>0.77966515576912432</v>
      </c>
      <c r="P61" s="707">
        <f t="shared" si="3"/>
        <v>794.84892131544802</v>
      </c>
      <c r="Q61" s="589">
        <f t="shared" si="4"/>
        <v>62</v>
      </c>
      <c r="R61" s="760">
        <f t="shared" si="2"/>
        <v>856.84892131544802</v>
      </c>
    </row>
    <row r="62" spans="2:21" x14ac:dyDescent="0.25">
      <c r="B62" s="6"/>
      <c r="D62" s="8">
        <f>SUM(D20:D61)</f>
        <v>407055.35000000009</v>
      </c>
      <c r="E62" s="8">
        <f t="shared" ref="E62:F62" si="6">SUM(E20:E61)</f>
        <v>334738.88</v>
      </c>
      <c r="F62" s="8">
        <f t="shared" si="6"/>
        <v>132.79597000000001</v>
      </c>
      <c r="G62" s="9">
        <f>SUM(G21:G61)</f>
        <v>266322.42596076755</v>
      </c>
      <c r="H62" s="9">
        <f>SUM(H21:H61)</f>
        <v>216813.81447134397</v>
      </c>
      <c r="I62" s="657">
        <f>SUM(I21:I61)</f>
        <v>132.79597000000001</v>
      </c>
      <c r="J62" s="9">
        <f>SUM(J21:J61)</f>
        <v>483269.03640211164</v>
      </c>
      <c r="K62" s="657">
        <f t="shared" ref="K62:N62" si="7">SUM(K21:K61)</f>
        <v>-619</v>
      </c>
      <c r="L62" s="657">
        <f t="shared" si="7"/>
        <v>300</v>
      </c>
      <c r="M62" s="657">
        <f t="shared" si="7"/>
        <v>157341</v>
      </c>
      <c r="N62" s="657">
        <f t="shared" si="7"/>
        <v>114789</v>
      </c>
      <c r="O62" s="606">
        <f>(M62+N62)/(J62+K62+L62)</f>
        <v>0.56347443728820923</v>
      </c>
      <c r="P62" s="9">
        <f>SUM(P21:P61)</f>
        <v>108362.42596076761</v>
      </c>
      <c r="Q62" s="657">
        <f>SUM(Q21:Q61)</f>
        <v>102457.61044134402</v>
      </c>
      <c r="R62" s="6"/>
    </row>
    <row r="63" spans="2:21" hidden="1" x14ac:dyDescent="0.25">
      <c r="B63" s="61"/>
      <c r="G63" s="7" t="s">
        <v>165</v>
      </c>
      <c r="H63" s="7">
        <v>-1000.542</v>
      </c>
      <c r="P63" s="9"/>
      <c r="Q63" s="9"/>
      <c r="R63" s="6"/>
    </row>
    <row r="64" spans="2:21" hidden="1" x14ac:dyDescent="0.25">
      <c r="G64" s="8"/>
      <c r="H64" s="8"/>
      <c r="I64" s="8"/>
      <c r="J64" s="1">
        <f>G64+H64</f>
        <v>0</v>
      </c>
      <c r="P64" s="9"/>
      <c r="Q64" s="9"/>
      <c r="R64" s="6"/>
    </row>
    <row r="65" spans="2:21" hidden="1" x14ac:dyDescent="0.25">
      <c r="B65" s="364" t="s">
        <v>126</v>
      </c>
      <c r="C65" s="364"/>
      <c r="D65" s="364"/>
      <c r="E65" s="365"/>
      <c r="F65" s="365"/>
      <c r="G65" s="366"/>
      <c r="H65" s="366"/>
      <c r="I65" s="366"/>
      <c r="J65" s="363" t="e">
        <f>J64/#REF!</f>
        <v>#REF!</v>
      </c>
      <c r="P65" s="9"/>
      <c r="Q65" s="9"/>
      <c r="R65" s="6"/>
    </row>
    <row r="66" spans="2:21" hidden="1" x14ac:dyDescent="0.25">
      <c r="P66" s="9"/>
      <c r="Q66" s="9"/>
      <c r="R66" s="6"/>
    </row>
    <row r="67" spans="2:21" hidden="1" x14ac:dyDescent="0.25">
      <c r="B67" s="61"/>
      <c r="G67" s="8" t="s">
        <v>166</v>
      </c>
      <c r="P67" s="9"/>
      <c r="Q67" s="9"/>
      <c r="R67" s="6"/>
    </row>
    <row r="68" spans="2:21" hidden="1" x14ac:dyDescent="0.25">
      <c r="B68" s="513" t="s">
        <v>163</v>
      </c>
      <c r="C68" s="514" t="s">
        <v>161</v>
      </c>
      <c r="D68" s="546"/>
      <c r="P68" s="9"/>
      <c r="Q68" s="9"/>
      <c r="R68" s="6"/>
    </row>
    <row r="69" spans="2:21" hidden="1" x14ac:dyDescent="0.25">
      <c r="B69" s="542" t="e">
        <f>#REF!</f>
        <v>#REF!</v>
      </c>
      <c r="C69" s="509" t="e">
        <f>(G7-D15)*1/B69</f>
        <v>#REF!</v>
      </c>
      <c r="P69" s="9"/>
      <c r="Q69" s="9"/>
      <c r="R69" s="6"/>
    </row>
    <row r="70" spans="2:21" ht="15.75" hidden="1" thickBot="1" x14ac:dyDescent="0.3">
      <c r="B70" s="543"/>
      <c r="C70" s="517"/>
      <c r="P70" s="9"/>
      <c r="Q70" s="9"/>
      <c r="R70" s="6"/>
    </row>
    <row r="71" spans="2:21" ht="15.75" thickBot="1" x14ac:dyDescent="0.3">
      <c r="J71" s="777">
        <f>G62+H62+I62</f>
        <v>483269.03640211152</v>
      </c>
      <c r="P71" s="9"/>
      <c r="Q71" s="9"/>
      <c r="R71" s="6"/>
    </row>
    <row r="72" spans="2:21" s="61" customFormat="1" ht="37.5" customHeight="1" thickBot="1" x14ac:dyDescent="0.3">
      <c r="B72" s="786" t="s">
        <v>62</v>
      </c>
      <c r="C72" s="787"/>
      <c r="D72" s="805" t="s">
        <v>210</v>
      </c>
      <c r="E72" s="807"/>
      <c r="F72" s="741"/>
      <c r="G72" s="830" t="s">
        <v>211</v>
      </c>
      <c r="H72" s="831"/>
      <c r="I72" s="728"/>
      <c r="J72" s="611" t="s">
        <v>212</v>
      </c>
      <c r="K72" s="792" t="s">
        <v>189</v>
      </c>
      <c r="L72" s="793"/>
      <c r="M72" s="811" t="s">
        <v>167</v>
      </c>
      <c r="N72" s="812"/>
      <c r="O72" s="610" t="s">
        <v>184</v>
      </c>
      <c r="P72" s="794" t="s">
        <v>168</v>
      </c>
      <c r="Q72" s="795"/>
      <c r="R72" s="591" t="s">
        <v>180</v>
      </c>
      <c r="S72" s="509"/>
    </row>
    <row r="73" spans="2:21" s="61" customFormat="1" ht="15.75" thickBot="1" x14ac:dyDescent="0.3">
      <c r="B73" s="828"/>
      <c r="C73" s="829"/>
      <c r="D73" s="713"/>
      <c r="E73" s="392"/>
      <c r="F73" s="392"/>
      <c r="G73" s="55" t="s">
        <v>84</v>
      </c>
      <c r="H73" s="452" t="s">
        <v>105</v>
      </c>
      <c r="I73" s="717"/>
      <c r="J73" s="613"/>
      <c r="K73" s="593">
        <v>30</v>
      </c>
      <c r="L73" s="594">
        <v>11</v>
      </c>
      <c r="M73" s="593">
        <v>30</v>
      </c>
      <c r="N73" s="594">
        <v>11</v>
      </c>
      <c r="O73" s="608" t="s">
        <v>181</v>
      </c>
      <c r="P73" s="607">
        <v>30</v>
      </c>
      <c r="Q73" s="596">
        <v>11</v>
      </c>
      <c r="R73" s="597"/>
      <c r="S73" s="509"/>
    </row>
    <row r="74" spans="2:21" ht="15.75" x14ac:dyDescent="0.25">
      <c r="B74" s="575" t="s">
        <v>182</v>
      </c>
      <c r="C74" s="576">
        <v>3900</v>
      </c>
      <c r="D74" s="527"/>
      <c r="E74" s="528"/>
      <c r="F74" s="528"/>
      <c r="G74" s="583">
        <v>6371.5</v>
      </c>
      <c r="H74" s="583">
        <v>6371.5</v>
      </c>
      <c r="I74" s="729"/>
      <c r="J74" s="754">
        <f>G74+H74</f>
        <v>12743</v>
      </c>
      <c r="K74" s="659"/>
      <c r="L74" s="660"/>
      <c r="M74" s="659">
        <v>3142</v>
      </c>
      <c r="N74" s="660">
        <v>4035</v>
      </c>
      <c r="O74" s="603">
        <f t="shared" ref="O74:O88" si="8">(M74+N74)/(J74+K74+L74)</f>
        <v>0.56321117476261473</v>
      </c>
      <c r="P74" s="508">
        <f>G74+K74-M74</f>
        <v>3229.5</v>
      </c>
      <c r="Q74" s="22">
        <f>H74+L74-N74</f>
        <v>2336.5</v>
      </c>
      <c r="R74" s="462">
        <f t="shared" ref="R74:R84" si="9">SUM(P74:Q74)</f>
        <v>5566</v>
      </c>
      <c r="S74" s="509"/>
      <c r="T74" s="61"/>
      <c r="U74" s="61"/>
    </row>
    <row r="75" spans="2:21" ht="15.75" x14ac:dyDescent="0.25">
      <c r="B75" s="581" t="s">
        <v>173</v>
      </c>
      <c r="C75" s="577">
        <v>3901</v>
      </c>
      <c r="D75" s="527"/>
      <c r="E75" s="528"/>
      <c r="F75" s="528"/>
      <c r="G75" s="566">
        <v>2378</v>
      </c>
      <c r="H75" s="566">
        <v>2378</v>
      </c>
      <c r="I75" s="730"/>
      <c r="J75" s="755">
        <f t="shared" ref="J75:J88" si="10">G75+H75</f>
        <v>4756</v>
      </c>
      <c r="K75" s="645"/>
      <c r="L75" s="646"/>
      <c r="M75" s="645">
        <v>1393</v>
      </c>
      <c r="N75" s="646">
        <v>1397</v>
      </c>
      <c r="O75" s="601">
        <f t="shared" si="8"/>
        <v>0.58662741799831797</v>
      </c>
      <c r="P75" s="772">
        <f t="shared" ref="P75:P88" si="11">G75+K75-M75</f>
        <v>985</v>
      </c>
      <c r="Q75" s="773">
        <f t="shared" ref="Q75:Q88" si="12">H75+L75-N75</f>
        <v>981</v>
      </c>
      <c r="R75" s="4">
        <f t="shared" si="9"/>
        <v>1966</v>
      </c>
      <c r="S75" s="509"/>
    </row>
    <row r="76" spans="2:21" ht="15.75" x14ac:dyDescent="0.25">
      <c r="B76" s="581" t="s">
        <v>174</v>
      </c>
      <c r="C76" s="577">
        <v>3903</v>
      </c>
      <c r="D76" s="527"/>
      <c r="E76" s="528"/>
      <c r="F76" s="528"/>
      <c r="G76" s="566">
        <v>2132.7137000000002</v>
      </c>
      <c r="H76" s="566">
        <v>2132.7137000000002</v>
      </c>
      <c r="I76" s="730"/>
      <c r="J76" s="755">
        <f t="shared" si="10"/>
        <v>4265.4274000000005</v>
      </c>
      <c r="K76" s="645"/>
      <c r="L76" s="646"/>
      <c r="M76" s="645">
        <v>1182</v>
      </c>
      <c r="N76" s="646">
        <v>1228</v>
      </c>
      <c r="O76" s="601">
        <f t="shared" si="8"/>
        <v>0.56500785829809219</v>
      </c>
      <c r="P76" s="772">
        <f t="shared" si="11"/>
        <v>950.71370000000024</v>
      </c>
      <c r="Q76" s="773">
        <f t="shared" si="12"/>
        <v>904.71370000000024</v>
      </c>
      <c r="R76" s="4">
        <f t="shared" si="9"/>
        <v>1855.4274000000005</v>
      </c>
      <c r="S76" s="509"/>
    </row>
    <row r="77" spans="2:21" x14ac:dyDescent="0.25">
      <c r="B77" s="581" t="s">
        <v>175</v>
      </c>
      <c r="C77" s="578">
        <v>3904</v>
      </c>
      <c r="G77" s="566">
        <v>1544</v>
      </c>
      <c r="H77" s="566">
        <v>0</v>
      </c>
      <c r="I77" s="730"/>
      <c r="J77" s="755">
        <f t="shared" si="10"/>
        <v>1544</v>
      </c>
      <c r="K77" s="645">
        <v>6</v>
      </c>
      <c r="L77" s="646">
        <v>9</v>
      </c>
      <c r="M77" s="645">
        <v>979</v>
      </c>
      <c r="N77" s="646">
        <v>1</v>
      </c>
      <c r="O77" s="601">
        <f t="shared" si="8"/>
        <v>0.62860808210391272</v>
      </c>
      <c r="P77" s="772">
        <f t="shared" si="11"/>
        <v>571</v>
      </c>
      <c r="Q77" s="773">
        <f t="shared" si="12"/>
        <v>8</v>
      </c>
      <c r="R77" s="4">
        <f t="shared" si="9"/>
        <v>579</v>
      </c>
      <c r="S77" s="509"/>
    </row>
    <row r="78" spans="2:21" x14ac:dyDescent="0.25">
      <c r="B78" s="581" t="s">
        <v>176</v>
      </c>
      <c r="C78" s="577">
        <v>3905</v>
      </c>
      <c r="G78" s="566">
        <v>527.5</v>
      </c>
      <c r="H78" s="566">
        <v>527.5</v>
      </c>
      <c r="I78" s="730"/>
      <c r="J78" s="755">
        <f t="shared" si="10"/>
        <v>1055</v>
      </c>
      <c r="K78" s="645"/>
      <c r="L78" s="646"/>
      <c r="M78" s="645">
        <v>250</v>
      </c>
      <c r="N78" s="646">
        <v>280</v>
      </c>
      <c r="O78" s="601">
        <f t="shared" si="8"/>
        <v>0.50236966824644547</v>
      </c>
      <c r="P78" s="772">
        <f t="shared" si="11"/>
        <v>277.5</v>
      </c>
      <c r="Q78" s="773">
        <f t="shared" si="12"/>
        <v>247.5</v>
      </c>
      <c r="R78" s="4">
        <f t="shared" si="9"/>
        <v>525</v>
      </c>
      <c r="S78" s="509"/>
    </row>
    <row r="79" spans="2:21" x14ac:dyDescent="0.25">
      <c r="B79" s="581" t="s">
        <v>177</v>
      </c>
      <c r="C79" s="578">
        <v>3906</v>
      </c>
      <c r="G79" s="566">
        <v>1213</v>
      </c>
      <c r="H79" s="566">
        <v>1213</v>
      </c>
      <c r="I79" s="730"/>
      <c r="J79" s="755">
        <f t="shared" si="10"/>
        <v>2426</v>
      </c>
      <c r="K79" s="645"/>
      <c r="L79" s="646"/>
      <c r="M79" s="645">
        <v>399</v>
      </c>
      <c r="N79" s="646">
        <v>637</v>
      </c>
      <c r="O79" s="601">
        <f t="shared" si="8"/>
        <v>0.42704039571310798</v>
      </c>
      <c r="P79" s="772">
        <f t="shared" si="11"/>
        <v>814</v>
      </c>
      <c r="Q79" s="773">
        <f t="shared" si="12"/>
        <v>576</v>
      </c>
      <c r="R79" s="4">
        <f t="shared" si="9"/>
        <v>1390</v>
      </c>
      <c r="S79" s="769" t="s">
        <v>220</v>
      </c>
    </row>
    <row r="80" spans="2:21" x14ac:dyDescent="0.25">
      <c r="B80" s="581" t="s">
        <v>178</v>
      </c>
      <c r="C80" s="578">
        <v>3907</v>
      </c>
      <c r="G80" s="566">
        <v>0</v>
      </c>
      <c r="H80" s="566">
        <v>6301</v>
      </c>
      <c r="I80" s="730"/>
      <c r="J80" s="755">
        <f t="shared" si="10"/>
        <v>6301</v>
      </c>
      <c r="K80" s="645"/>
      <c r="L80" s="646"/>
      <c r="M80" s="645"/>
      <c r="N80" s="646">
        <v>3720</v>
      </c>
      <c r="O80" s="601">
        <f t="shared" si="8"/>
        <v>0.5903824789715918</v>
      </c>
      <c r="P80" s="772">
        <f t="shared" si="11"/>
        <v>0</v>
      </c>
      <c r="Q80" s="773">
        <f t="shared" si="12"/>
        <v>2581</v>
      </c>
      <c r="R80" s="4">
        <f t="shared" si="9"/>
        <v>2581</v>
      </c>
      <c r="S80" s="509"/>
    </row>
    <row r="81" spans="2:21" x14ac:dyDescent="0.25">
      <c r="B81" s="581" t="s">
        <v>179</v>
      </c>
      <c r="C81" s="578">
        <v>3908</v>
      </c>
      <c r="G81" s="566">
        <v>934</v>
      </c>
      <c r="H81" s="566">
        <v>934</v>
      </c>
      <c r="I81" s="730"/>
      <c r="J81" s="755">
        <f t="shared" si="10"/>
        <v>1868</v>
      </c>
      <c r="K81" s="645"/>
      <c r="L81" s="646"/>
      <c r="M81" s="645">
        <v>502</v>
      </c>
      <c r="N81" s="646">
        <v>656</v>
      </c>
      <c r="O81" s="601">
        <f t="shared" si="8"/>
        <v>0.61991434689507496</v>
      </c>
      <c r="P81" s="772">
        <f t="shared" si="11"/>
        <v>432</v>
      </c>
      <c r="Q81" s="773">
        <f t="shared" si="12"/>
        <v>278</v>
      </c>
      <c r="R81" s="4">
        <f t="shared" si="9"/>
        <v>710</v>
      </c>
      <c r="S81" s="509"/>
    </row>
    <row r="82" spans="2:21" x14ac:dyDescent="0.25">
      <c r="B82" s="581" t="s">
        <v>190</v>
      </c>
      <c r="C82" s="579">
        <v>3911</v>
      </c>
      <c r="G82" s="566">
        <v>8078.1756721000002</v>
      </c>
      <c r="H82" s="566">
        <v>8078.1756721000002</v>
      </c>
      <c r="I82" s="730"/>
      <c r="J82" s="755">
        <f t="shared" si="10"/>
        <v>16156.3513442</v>
      </c>
      <c r="K82" s="645">
        <v>1538</v>
      </c>
      <c r="L82" s="646">
        <v>1539</v>
      </c>
      <c r="M82" s="645">
        <v>4771</v>
      </c>
      <c r="N82" s="646">
        <v>8885</v>
      </c>
      <c r="O82" s="601">
        <f t="shared" si="8"/>
        <v>0.71001666613437586</v>
      </c>
      <c r="P82" s="772">
        <f t="shared" si="11"/>
        <v>4845.1756721000002</v>
      </c>
      <c r="Q82" s="773">
        <f t="shared" si="12"/>
        <v>732.17567210000016</v>
      </c>
      <c r="R82" s="4">
        <f t="shared" si="9"/>
        <v>5577.3513442000003</v>
      </c>
      <c r="S82" s="509"/>
    </row>
    <row r="83" spans="2:21" x14ac:dyDescent="0.25">
      <c r="B83" s="581" t="s">
        <v>191</v>
      </c>
      <c r="C83" s="578">
        <v>3912</v>
      </c>
      <c r="G83" s="566">
        <v>6616</v>
      </c>
      <c r="H83" s="566">
        <v>6616</v>
      </c>
      <c r="I83" s="730"/>
      <c r="J83" s="755">
        <f t="shared" si="10"/>
        <v>13232</v>
      </c>
      <c r="K83" s="645">
        <v>975</v>
      </c>
      <c r="L83" s="646">
        <v>975</v>
      </c>
      <c r="M83" s="645">
        <v>3844</v>
      </c>
      <c r="N83" s="646">
        <v>5432</v>
      </c>
      <c r="O83" s="601">
        <f t="shared" si="8"/>
        <v>0.61098669477012246</v>
      </c>
      <c r="P83" s="772">
        <f t="shared" si="11"/>
        <v>3747</v>
      </c>
      <c r="Q83" s="773">
        <f t="shared" si="12"/>
        <v>2159</v>
      </c>
      <c r="R83" s="4">
        <f t="shared" si="9"/>
        <v>5906</v>
      </c>
      <c r="S83" s="509"/>
    </row>
    <row r="84" spans="2:21" s="61" customFormat="1" x14ac:dyDescent="0.25">
      <c r="B84" s="581" t="s">
        <v>192</v>
      </c>
      <c r="C84" s="578">
        <v>3913</v>
      </c>
      <c r="E84" s="530"/>
      <c r="F84" s="653"/>
      <c r="G84" s="566">
        <v>11237</v>
      </c>
      <c r="H84" s="566">
        <v>11237</v>
      </c>
      <c r="I84" s="730"/>
      <c r="J84" s="755">
        <f t="shared" si="10"/>
        <v>22474</v>
      </c>
      <c r="K84" s="645"/>
      <c r="L84" s="646">
        <v>37</v>
      </c>
      <c r="M84" s="645">
        <v>5523</v>
      </c>
      <c r="N84" s="646">
        <v>7141</v>
      </c>
      <c r="O84" s="601">
        <f t="shared" si="8"/>
        <v>0.56256941051041709</v>
      </c>
      <c r="P84" s="772">
        <f t="shared" si="11"/>
        <v>5714</v>
      </c>
      <c r="Q84" s="773">
        <f t="shared" si="12"/>
        <v>4133</v>
      </c>
      <c r="R84" s="4">
        <f t="shared" si="9"/>
        <v>9847</v>
      </c>
      <c r="S84" s="509"/>
    </row>
    <row r="85" spans="2:21" s="61" customFormat="1" x14ac:dyDescent="0.25">
      <c r="B85" s="581" t="s">
        <v>193</v>
      </c>
      <c r="C85" s="578">
        <v>3915</v>
      </c>
      <c r="E85" s="530"/>
      <c r="F85" s="653"/>
      <c r="G85" s="584">
        <v>0</v>
      </c>
      <c r="H85" s="584">
        <v>1441</v>
      </c>
      <c r="I85" s="731"/>
      <c r="J85" s="756">
        <f t="shared" si="10"/>
        <v>1441</v>
      </c>
      <c r="K85" s="645"/>
      <c r="L85" s="646"/>
      <c r="M85" s="645"/>
      <c r="N85" s="646">
        <v>747</v>
      </c>
      <c r="O85" s="601">
        <f t="shared" si="8"/>
        <v>0.51839000693962523</v>
      </c>
      <c r="P85" s="772">
        <f t="shared" si="11"/>
        <v>0</v>
      </c>
      <c r="Q85" s="773">
        <f t="shared" si="12"/>
        <v>694</v>
      </c>
      <c r="R85" s="4">
        <f t="shared" ref="R85:R88" si="13">SUM(P85:Q85)</f>
        <v>694</v>
      </c>
      <c r="S85" s="509"/>
    </row>
    <row r="86" spans="2:21" x14ac:dyDescent="0.25">
      <c r="B86" s="581" t="s">
        <v>138</v>
      </c>
      <c r="C86" s="578">
        <v>3740</v>
      </c>
      <c r="G86" s="566">
        <v>0</v>
      </c>
      <c r="H86" s="566">
        <v>5432</v>
      </c>
      <c r="I86" s="730"/>
      <c r="J86" s="755">
        <f t="shared" si="10"/>
        <v>5432</v>
      </c>
      <c r="K86" s="645"/>
      <c r="L86" s="646">
        <v>4</v>
      </c>
      <c r="M86" s="645"/>
      <c r="N86" s="646">
        <v>4369</v>
      </c>
      <c r="O86" s="601">
        <f t="shared" si="8"/>
        <v>0.80371596762325237</v>
      </c>
      <c r="P86" s="772">
        <f t="shared" si="11"/>
        <v>0</v>
      </c>
      <c r="Q86" s="773">
        <f t="shared" si="12"/>
        <v>1067</v>
      </c>
      <c r="R86" s="4">
        <f t="shared" si="13"/>
        <v>1067</v>
      </c>
      <c r="S86" s="509"/>
      <c r="U86" s="61"/>
    </row>
    <row r="87" spans="2:21" x14ac:dyDescent="0.25">
      <c r="B87" s="581" t="s">
        <v>194</v>
      </c>
      <c r="C87" s="578">
        <v>3960</v>
      </c>
      <c r="G87" s="566">
        <v>0</v>
      </c>
      <c r="H87" s="566">
        <v>1964</v>
      </c>
      <c r="I87" s="730"/>
      <c r="J87" s="755">
        <f t="shared" si="10"/>
        <v>1964</v>
      </c>
      <c r="K87" s="645"/>
      <c r="L87" s="646"/>
      <c r="M87" s="645">
        <v>1</v>
      </c>
      <c r="N87" s="646">
        <v>1176</v>
      </c>
      <c r="O87" s="601">
        <f t="shared" si="8"/>
        <v>0.59928716904276991</v>
      </c>
      <c r="P87" s="774">
        <f t="shared" si="11"/>
        <v>-1</v>
      </c>
      <c r="Q87" s="773">
        <f t="shared" si="12"/>
        <v>788</v>
      </c>
      <c r="R87" s="4">
        <f t="shared" si="13"/>
        <v>787</v>
      </c>
      <c r="S87" s="509"/>
    </row>
    <row r="88" spans="2:21" ht="15.75" thickBot="1" x14ac:dyDescent="0.3">
      <c r="B88" s="582" t="s">
        <v>195</v>
      </c>
      <c r="C88" s="580">
        <v>3210</v>
      </c>
      <c r="G88" s="569">
        <v>0</v>
      </c>
      <c r="H88" s="569">
        <v>3846</v>
      </c>
      <c r="I88" s="732"/>
      <c r="J88" s="757">
        <f t="shared" si="10"/>
        <v>3846</v>
      </c>
      <c r="K88" s="647"/>
      <c r="L88" s="648"/>
      <c r="M88" s="647"/>
      <c r="N88" s="648">
        <v>2336</v>
      </c>
      <c r="O88" s="604">
        <f t="shared" si="8"/>
        <v>0.60738429537181482</v>
      </c>
      <c r="P88" s="775">
        <f t="shared" si="11"/>
        <v>0</v>
      </c>
      <c r="Q88" s="776">
        <f t="shared" si="12"/>
        <v>1510</v>
      </c>
      <c r="R88" s="560">
        <f t="shared" si="13"/>
        <v>1510</v>
      </c>
      <c r="S88" s="509"/>
    </row>
    <row r="89" spans="2:21" ht="15.75" thickBot="1" x14ac:dyDescent="0.3">
      <c r="B89" s="711" t="s">
        <v>207</v>
      </c>
      <c r="C89" s="712">
        <v>3950</v>
      </c>
      <c r="G89" s="8">
        <f>SUM(G74:G88)</f>
        <v>41031.889372099999</v>
      </c>
      <c r="H89" s="8">
        <f>SUM(H74:H88)</f>
        <v>58471.889372099999</v>
      </c>
      <c r="J89" s="655">
        <v>250</v>
      </c>
      <c r="K89" s="656"/>
      <c r="L89" s="656"/>
      <c r="M89" s="768">
        <v>0</v>
      </c>
      <c r="N89" s="768">
        <v>27.371729999999999</v>
      </c>
      <c r="O89" s="60"/>
      <c r="P89" s="1">
        <f>SUM(P74:P88)</f>
        <v>21564.889372099999</v>
      </c>
      <c r="Q89" s="1">
        <f>SUM(Q74:Q88)</f>
        <v>18995.889372099999</v>
      </c>
      <c r="S89" s="61"/>
    </row>
    <row r="90" spans="2:21" s="61" customFormat="1" x14ac:dyDescent="0.25">
      <c r="B90" s="5"/>
      <c r="C90" s="668"/>
      <c r="E90" s="653"/>
      <c r="F90" s="653"/>
      <c r="G90" s="653"/>
      <c r="H90" s="8">
        <f>G89+H89</f>
        <v>99503.778744199997</v>
      </c>
      <c r="I90" s="653"/>
      <c r="J90" s="655">
        <f>SUM(J74:J88)</f>
        <v>99503.778744199997</v>
      </c>
      <c r="K90" s="655">
        <f t="shared" ref="K90:N90" si="14">SUM(K74:K88)</f>
        <v>2519</v>
      </c>
      <c r="L90" s="655">
        <f t="shared" si="14"/>
        <v>2564</v>
      </c>
      <c r="M90" s="655">
        <f t="shared" si="14"/>
        <v>21986</v>
      </c>
      <c r="N90" s="655">
        <f t="shared" si="14"/>
        <v>42040</v>
      </c>
      <c r="O90" s="710">
        <f>(M90+N90)/(J90+K90+L90)</f>
        <v>0.61218062903147452</v>
      </c>
      <c r="P90" s="1"/>
      <c r="Q90" s="1"/>
    </row>
    <row r="91" spans="2:21" s="5" customFormat="1" x14ac:dyDescent="0.25">
      <c r="C91" s="668"/>
      <c r="J91" s="668"/>
      <c r="K91" s="668"/>
      <c r="L91" s="668"/>
      <c r="M91" s="657"/>
      <c r="N91" s="657"/>
      <c r="O91" s="568"/>
      <c r="Q91" s="668"/>
    </row>
    <row r="92" spans="2:21" ht="15.75" thickBot="1" x14ac:dyDescent="0.3">
      <c r="G92" s="661" t="s">
        <v>196</v>
      </c>
      <c r="H92" s="661"/>
      <c r="I92" s="661"/>
      <c r="J92" s="662" t="s">
        <v>197</v>
      </c>
      <c r="K92" s="691"/>
      <c r="L92" s="691"/>
      <c r="M92" s="663"/>
      <c r="N92" s="663"/>
      <c r="O92" s="664"/>
      <c r="P92" s="663"/>
      <c r="Q92" s="663"/>
      <c r="R92" s="663"/>
      <c r="S92" s="656"/>
    </row>
    <row r="93" spans="2:21" ht="15.75" thickBot="1" x14ac:dyDescent="0.3">
      <c r="G93" s="665" t="s">
        <v>196</v>
      </c>
      <c r="H93" s="702">
        <v>99310021</v>
      </c>
      <c r="I93" s="733"/>
      <c r="J93" s="698">
        <v>15000</v>
      </c>
      <c r="K93" s="698"/>
      <c r="L93" s="698">
        <v>23145</v>
      </c>
      <c r="M93" s="761">
        <v>10825</v>
      </c>
      <c r="N93" s="666">
        <f>494+3945</f>
        <v>4439</v>
      </c>
      <c r="O93" s="667"/>
      <c r="P93" s="762">
        <f>K93-M93</f>
        <v>-10825</v>
      </c>
      <c r="Q93" s="703">
        <f>L93-N93</f>
        <v>18706</v>
      </c>
      <c r="R93" s="704">
        <f>P93+Q93</f>
        <v>7881</v>
      </c>
      <c r="S93" s="1"/>
      <c r="T93" s="61"/>
    </row>
    <row r="94" spans="2:21" x14ac:dyDescent="0.25">
      <c r="G94" s="658"/>
      <c r="H94" s="668"/>
      <c r="I94" s="668"/>
      <c r="J94" s="654"/>
      <c r="K94" s="699"/>
      <c r="L94" s="699"/>
      <c r="M94" s="658"/>
      <c r="N94" s="658"/>
      <c r="O94" s="568"/>
      <c r="P94" s="5"/>
      <c r="Q94" s="658"/>
      <c r="R94" s="658"/>
      <c r="T94" s="61"/>
    </row>
    <row r="95" spans="2:21" x14ac:dyDescent="0.25">
      <c r="F95" s="783" t="s">
        <v>198</v>
      </c>
      <c r="G95" s="783"/>
      <c r="H95" s="669"/>
      <c r="I95" s="669"/>
      <c r="J95" s="670" t="s">
        <v>197</v>
      </c>
      <c r="K95" s="778" t="s">
        <v>189</v>
      </c>
      <c r="L95" s="778"/>
      <c r="M95" s="671"/>
      <c r="N95" s="671"/>
      <c r="O95" s="672"/>
      <c r="P95" s="671"/>
      <c r="Q95" s="671"/>
      <c r="R95" s="671"/>
      <c r="T95" s="61"/>
    </row>
    <row r="96" spans="2:21" x14ac:dyDescent="0.25">
      <c r="F96" s="782" t="s">
        <v>199</v>
      </c>
      <c r="G96" s="782"/>
      <c r="H96" s="673">
        <v>99310101</v>
      </c>
      <c r="I96" s="673"/>
      <c r="J96" s="709">
        <v>2000</v>
      </c>
      <c r="K96" s="770"/>
      <c r="L96" s="770"/>
      <c r="M96" s="700">
        <v>168</v>
      </c>
      <c r="N96" s="700">
        <v>137</v>
      </c>
      <c r="O96" s="674"/>
      <c r="P96" s="549"/>
      <c r="Q96" s="675"/>
      <c r="R96" s="675">
        <f>J96-M96-N96</f>
        <v>1695</v>
      </c>
      <c r="S96" s="61"/>
      <c r="T96" s="61"/>
    </row>
    <row r="97" spans="5:20" x14ac:dyDescent="0.25">
      <c r="F97" s="779" t="s">
        <v>200</v>
      </c>
      <c r="G97" s="779"/>
      <c r="H97" s="673">
        <v>99310103</v>
      </c>
      <c r="I97" s="673"/>
      <c r="J97" s="827">
        <v>200</v>
      </c>
      <c r="K97" s="770"/>
      <c r="L97" s="770"/>
      <c r="M97" s="700"/>
      <c r="N97" s="700">
        <v>18</v>
      </c>
      <c r="O97" s="674"/>
      <c r="P97" s="549"/>
      <c r="Q97" s="675"/>
      <c r="R97" s="808">
        <f>J97-M97-N97-M98-N98-M99-N99-M100-N100-M101-N101</f>
        <v>152</v>
      </c>
      <c r="S97" s="61"/>
    </row>
    <row r="98" spans="5:20" x14ac:dyDescent="0.25">
      <c r="F98" s="779" t="s">
        <v>200</v>
      </c>
      <c r="G98" s="779"/>
      <c r="H98" s="673">
        <v>99310104</v>
      </c>
      <c r="I98" s="673"/>
      <c r="J98" s="827"/>
      <c r="K98" s="770"/>
      <c r="L98" s="770"/>
      <c r="M98" s="700"/>
      <c r="N98" s="700">
        <v>0</v>
      </c>
      <c r="O98" s="674"/>
      <c r="P98" s="549"/>
      <c r="Q98" s="675"/>
      <c r="R98" s="808"/>
      <c r="S98" s="61"/>
    </row>
    <row r="99" spans="5:20" x14ac:dyDescent="0.25">
      <c r="F99" s="779" t="s">
        <v>200</v>
      </c>
      <c r="G99" s="779"/>
      <c r="H99" s="676">
        <v>99310105</v>
      </c>
      <c r="I99" s="676"/>
      <c r="J99" s="827"/>
      <c r="K99" s="770"/>
      <c r="L99" s="770"/>
      <c r="M99" s="700"/>
      <c r="N99" s="700">
        <v>26</v>
      </c>
      <c r="O99" s="674"/>
      <c r="P99" s="549"/>
      <c r="Q99" s="675"/>
      <c r="R99" s="808"/>
      <c r="S99" s="61"/>
    </row>
    <row r="100" spans="5:20" x14ac:dyDescent="0.25">
      <c r="F100" s="779" t="s">
        <v>200</v>
      </c>
      <c r="G100" s="779"/>
      <c r="H100" s="673">
        <v>99310107</v>
      </c>
      <c r="I100" s="673"/>
      <c r="J100" s="827"/>
      <c r="K100" s="770"/>
      <c r="L100" s="770"/>
      <c r="M100" s="700"/>
      <c r="N100" s="700">
        <v>2</v>
      </c>
      <c r="O100" s="674"/>
      <c r="P100" s="549"/>
      <c r="Q100" s="675"/>
      <c r="R100" s="808"/>
      <c r="S100" s="61"/>
    </row>
    <row r="101" spans="5:20" x14ac:dyDescent="0.25">
      <c r="F101" s="779" t="s">
        <v>201</v>
      </c>
      <c r="G101" s="779"/>
      <c r="H101" s="673">
        <v>993100441</v>
      </c>
      <c r="I101" s="673"/>
      <c r="J101" s="827"/>
      <c r="K101" s="770"/>
      <c r="L101" s="770"/>
      <c r="M101" s="700"/>
      <c r="N101" s="700">
        <v>2</v>
      </c>
      <c r="O101" s="674"/>
      <c r="P101" s="549"/>
      <c r="Q101" s="675"/>
      <c r="R101" s="808"/>
      <c r="S101" s="61"/>
    </row>
    <row r="102" spans="5:20" s="61" customFormat="1" x14ac:dyDescent="0.25">
      <c r="E102" s="653"/>
      <c r="F102" s="779" t="s">
        <v>214</v>
      </c>
      <c r="G102" s="779"/>
      <c r="H102" s="673"/>
      <c r="I102" s="673"/>
      <c r="J102" s="716">
        <v>50</v>
      </c>
      <c r="K102" s="770"/>
      <c r="L102" s="770"/>
      <c r="M102" s="700"/>
      <c r="N102" s="700">
        <v>3</v>
      </c>
      <c r="O102" s="674"/>
      <c r="P102" s="549"/>
      <c r="Q102" s="675"/>
      <c r="R102" s="715"/>
    </row>
    <row r="103" spans="5:20" x14ac:dyDescent="0.25">
      <c r="F103" s="779" t="s">
        <v>202</v>
      </c>
      <c r="G103" s="779"/>
      <c r="H103" s="673">
        <v>99310111</v>
      </c>
      <c r="I103" s="673"/>
      <c r="J103" s="676">
        <v>800</v>
      </c>
      <c r="K103" s="770"/>
      <c r="L103" s="770"/>
      <c r="M103" s="700"/>
      <c r="N103" s="700">
        <v>81</v>
      </c>
      <c r="O103" s="674"/>
      <c r="P103" s="549"/>
      <c r="Q103" s="675"/>
      <c r="R103" s="675">
        <f>J103-M103-N103</f>
        <v>719</v>
      </c>
      <c r="S103" s="61"/>
      <c r="T103" s="61"/>
    </row>
    <row r="104" spans="5:20" x14ac:dyDescent="0.25">
      <c r="G104" s="654"/>
      <c r="H104" s="654"/>
      <c r="I104" s="654"/>
      <c r="J104" s="654"/>
      <c r="K104" s="699"/>
      <c r="L104" s="699"/>
      <c r="M104" s="677"/>
      <c r="N104" s="677"/>
      <c r="O104" s="568"/>
      <c r="P104" s="657"/>
      <c r="Q104" s="678"/>
      <c r="R104" s="678"/>
    </row>
    <row r="105" spans="5:20" x14ac:dyDescent="0.25">
      <c r="F105" s="780" t="s">
        <v>203</v>
      </c>
      <c r="G105" s="780"/>
      <c r="H105" s="680"/>
      <c r="I105" s="680"/>
      <c r="J105" s="680" t="s">
        <v>197</v>
      </c>
      <c r="K105" s="778"/>
      <c r="L105" s="778"/>
      <c r="M105" s="681"/>
      <c r="N105" s="681"/>
      <c r="O105" s="682"/>
      <c r="P105" s="701"/>
      <c r="Q105" s="683"/>
      <c r="R105" s="684"/>
    </row>
    <row r="106" spans="5:20" x14ac:dyDescent="0.25">
      <c r="F106" s="779" t="s">
        <v>218</v>
      </c>
      <c r="G106" s="779"/>
      <c r="H106" s="673">
        <v>153100011</v>
      </c>
      <c r="I106" s="734"/>
      <c r="J106" s="708">
        <v>529</v>
      </c>
      <c r="K106" s="770"/>
      <c r="L106" s="770"/>
      <c r="M106" s="700"/>
      <c r="N106" s="700">
        <v>78</v>
      </c>
      <c r="O106" s="674"/>
      <c r="P106" s="549"/>
      <c r="Q106" s="685"/>
      <c r="R106" s="685">
        <f>J106-M106-N106</f>
        <v>451</v>
      </c>
    </row>
    <row r="107" spans="5:20" s="61" customFormat="1" x14ac:dyDescent="0.25">
      <c r="E107" s="653"/>
      <c r="F107" s="781" t="s">
        <v>219</v>
      </c>
      <c r="G107" s="781"/>
      <c r="H107" s="673">
        <v>993100461</v>
      </c>
      <c r="I107" s="734"/>
      <c r="J107" s="708">
        <v>2400</v>
      </c>
      <c r="K107" s="770"/>
      <c r="L107" s="770"/>
      <c r="M107" s="700"/>
      <c r="N107" s="700">
        <v>10</v>
      </c>
      <c r="O107" s="674"/>
      <c r="P107" s="549"/>
      <c r="Q107" s="685"/>
      <c r="R107" s="685"/>
    </row>
    <row r="108" spans="5:20" s="61" customFormat="1" x14ac:dyDescent="0.25">
      <c r="E108" s="653"/>
      <c r="F108" s="779" t="s">
        <v>208</v>
      </c>
      <c r="G108" s="779"/>
      <c r="H108" s="673"/>
      <c r="I108" s="673"/>
      <c r="J108" s="708">
        <v>1413</v>
      </c>
      <c r="K108" s="770"/>
      <c r="L108" s="770"/>
      <c r="M108" s="700"/>
      <c r="N108" s="700">
        <v>1413</v>
      </c>
      <c r="O108" s="674"/>
      <c r="P108" s="549"/>
      <c r="Q108" s="685"/>
      <c r="R108" s="685">
        <f>J108-M108-N108</f>
        <v>0</v>
      </c>
    </row>
    <row r="109" spans="5:20" x14ac:dyDescent="0.25">
      <c r="G109" s="654"/>
      <c r="H109" s="654"/>
      <c r="I109" s="654"/>
      <c r="J109" s="686"/>
      <c r="K109" s="699"/>
      <c r="L109" s="699"/>
      <c r="M109" s="677"/>
      <c r="N109" s="677"/>
      <c r="O109" s="568"/>
      <c r="P109" s="657"/>
      <c r="Q109" s="687"/>
      <c r="R109" s="688"/>
    </row>
    <row r="110" spans="5:20" x14ac:dyDescent="0.25">
      <c r="G110" s="679" t="s">
        <v>204</v>
      </c>
      <c r="H110" s="680"/>
      <c r="I110" s="680"/>
      <c r="J110" s="689"/>
      <c r="K110" s="778"/>
      <c r="L110" s="778"/>
      <c r="M110" s="681"/>
      <c r="N110" s="681"/>
      <c r="O110" s="682"/>
      <c r="P110" s="701"/>
      <c r="Q110" s="690"/>
      <c r="R110" s="691"/>
    </row>
    <row r="111" spans="5:20" s="61" customFormat="1" x14ac:dyDescent="0.25">
      <c r="E111" s="653"/>
      <c r="F111" s="653"/>
      <c r="G111" s="676" t="s">
        <v>217</v>
      </c>
      <c r="H111" s="676">
        <v>813100031</v>
      </c>
      <c r="I111" s="676"/>
      <c r="J111" s="764"/>
      <c r="K111" s="770"/>
      <c r="L111" s="770"/>
      <c r="M111" s="700"/>
      <c r="N111" s="700">
        <v>4</v>
      </c>
      <c r="O111" s="674"/>
      <c r="P111" s="549"/>
      <c r="Q111" s="766"/>
      <c r="R111" s="767"/>
    </row>
    <row r="112" spans="5:20" x14ac:dyDescent="0.25">
      <c r="G112" s="676" t="s">
        <v>216</v>
      </c>
      <c r="H112" s="673">
        <v>813100033</v>
      </c>
      <c r="I112" s="673"/>
      <c r="J112" s="763"/>
      <c r="K112" s="770"/>
      <c r="L112" s="770"/>
      <c r="M112" s="700"/>
      <c r="N112" s="700">
        <v>277</v>
      </c>
      <c r="O112" s="674"/>
      <c r="P112" s="549"/>
      <c r="Q112" s="675"/>
      <c r="R112" s="675"/>
      <c r="T112" s="61"/>
    </row>
    <row r="113" spans="5:20" s="61" customFormat="1" x14ac:dyDescent="0.25">
      <c r="E113" s="653"/>
      <c r="F113" s="653"/>
      <c r="G113" s="676" t="s">
        <v>215</v>
      </c>
      <c r="H113" s="673">
        <v>813100034</v>
      </c>
      <c r="I113" s="673"/>
      <c r="J113" s="763"/>
      <c r="K113" s="770"/>
      <c r="L113" s="770"/>
      <c r="M113" s="700"/>
      <c r="N113" s="700">
        <v>2</v>
      </c>
      <c r="O113" s="674"/>
      <c r="P113" s="549"/>
      <c r="Q113" s="675"/>
      <c r="R113" s="675"/>
    </row>
    <row r="114" spans="5:20" x14ac:dyDescent="0.25">
      <c r="G114" s="676" t="s">
        <v>205</v>
      </c>
      <c r="H114" s="676">
        <v>8197200115</v>
      </c>
      <c r="I114" s="676"/>
      <c r="J114" s="765"/>
      <c r="K114" s="770">
        <v>170</v>
      </c>
      <c r="L114" s="770"/>
      <c r="M114" s="700">
        <v>293</v>
      </c>
      <c r="N114" s="700">
        <v>21</v>
      </c>
      <c r="O114" s="674"/>
      <c r="P114" s="549"/>
      <c r="Q114" s="675"/>
      <c r="R114" s="675"/>
      <c r="T114" s="61"/>
    </row>
    <row r="115" spans="5:20" x14ac:dyDescent="0.25">
      <c r="G115" s="676" t="s">
        <v>206</v>
      </c>
      <c r="H115" s="673">
        <v>983100002</v>
      </c>
      <c r="I115" s="673"/>
      <c r="J115" s="765"/>
      <c r="K115" s="770"/>
      <c r="L115" s="770"/>
      <c r="M115" s="700"/>
      <c r="N115" s="700"/>
      <c r="O115" s="674"/>
      <c r="P115" s="549"/>
      <c r="Q115" s="675"/>
      <c r="R115" s="675"/>
    </row>
    <row r="116" spans="5:20" x14ac:dyDescent="0.25">
      <c r="G116" s="5"/>
      <c r="H116" s="692"/>
      <c r="I116" s="692"/>
      <c r="J116" s="5"/>
      <c r="K116" s="699"/>
      <c r="L116" s="699"/>
      <c r="M116" s="657"/>
      <c r="N116" s="657"/>
      <c r="O116" s="657">
        <f>SUM(O96:O103)</f>
        <v>0</v>
      </c>
      <c r="P116" s="657">
        <f>SUM(P96:P103)</f>
        <v>0</v>
      </c>
      <c r="Q116" s="655"/>
      <c r="R116" s="655"/>
    </row>
    <row r="117" spans="5:20" x14ac:dyDescent="0.25">
      <c r="G117" s="693" t="s">
        <v>183</v>
      </c>
      <c r="H117" s="693"/>
      <c r="I117" s="693"/>
      <c r="J117" s="694"/>
      <c r="K117" s="771"/>
      <c r="L117" s="771"/>
      <c r="M117" s="695"/>
      <c r="N117" s="695"/>
      <c r="O117" s="696"/>
      <c r="P117" s="694"/>
      <c r="Q117" s="697"/>
      <c r="R117" s="697"/>
    </row>
    <row r="118" spans="5:20" x14ac:dyDescent="0.25">
      <c r="K118" s="656"/>
      <c r="L118" s="656"/>
      <c r="O118" s="60"/>
      <c r="Q118" s="3"/>
    </row>
  </sheetData>
  <mergeCells count="42">
    <mergeCell ref="R97:R101"/>
    <mergeCell ref="H5:H6"/>
    <mergeCell ref="M3:N3"/>
    <mergeCell ref="K3:L3"/>
    <mergeCell ref="C5:C6"/>
    <mergeCell ref="B19:C19"/>
    <mergeCell ref="B7:C7"/>
    <mergeCell ref="B10:C10"/>
    <mergeCell ref="B11:C12"/>
    <mergeCell ref="B14:C14"/>
    <mergeCell ref="J97:J101"/>
    <mergeCell ref="B72:C73"/>
    <mergeCell ref="P3:Q3"/>
    <mergeCell ref="D72:E72"/>
    <mergeCell ref="G72:H72"/>
    <mergeCell ref="M72:N72"/>
    <mergeCell ref="P72:Q72"/>
    <mergeCell ref="D5:D6"/>
    <mergeCell ref="E5:E6"/>
    <mergeCell ref="G5:G6"/>
    <mergeCell ref="G3:I3"/>
    <mergeCell ref="D3:F3"/>
    <mergeCell ref="F95:G95"/>
    <mergeCell ref="B9:C9"/>
    <mergeCell ref="B3:C4"/>
    <mergeCell ref="B5:B6"/>
    <mergeCell ref="K72:L72"/>
    <mergeCell ref="K95:L95"/>
    <mergeCell ref="F100:G100"/>
    <mergeCell ref="F97:G97"/>
    <mergeCell ref="F98:G98"/>
    <mergeCell ref="F99:G99"/>
    <mergeCell ref="F96:G96"/>
    <mergeCell ref="K105:L105"/>
    <mergeCell ref="K110:L110"/>
    <mergeCell ref="F108:G108"/>
    <mergeCell ref="F105:G105"/>
    <mergeCell ref="F101:G101"/>
    <mergeCell ref="F102:G102"/>
    <mergeCell ref="F103:G103"/>
    <mergeCell ref="F106:G106"/>
    <mergeCell ref="F107:G107"/>
  </mergeCells>
  <pageMargins left="0.70866141732283472" right="0.70866141732283472" top="0.78740157480314965" bottom="0.78740157480314965" header="0.31496062992125984" footer="0.31496062992125984"/>
  <pageSetup paperSize="8" scale="4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"/>
  <sheetViews>
    <sheetView workbookViewId="0">
      <selection activeCell="AH23" sqref="AH23"/>
    </sheetView>
  </sheetViews>
  <sheetFormatPr defaultColWidth="9.140625" defaultRowHeight="15" x14ac:dyDescent="0.25"/>
  <cols>
    <col min="1" max="1" width="35.140625" style="64" customWidth="1"/>
    <col min="2" max="2" width="27.7109375" style="64" customWidth="1"/>
    <col min="3" max="3" width="8.140625" style="64" customWidth="1"/>
    <col min="4" max="4" width="15.7109375" style="64" customWidth="1"/>
    <col min="5" max="5" width="12.7109375" style="64" hidden="1" customWidth="1"/>
    <col min="6" max="6" width="20.140625" style="64" customWidth="1"/>
    <col min="7" max="7" width="11.5703125" style="64" customWidth="1"/>
    <col min="8" max="8" width="11.42578125" style="67" customWidth="1"/>
    <col min="9" max="9" width="13.140625" style="67" customWidth="1"/>
    <col min="10" max="10" width="15.7109375" style="67" customWidth="1"/>
    <col min="11" max="11" width="2.42578125" style="67" hidden="1" customWidth="1"/>
    <col min="12" max="12" width="12.85546875" style="66" customWidth="1"/>
    <col min="13" max="13" width="13.28515625" style="64" hidden="1" customWidth="1"/>
    <col min="14" max="14" width="15.28515625" style="67" customWidth="1"/>
    <col min="15" max="16" width="19" style="64" hidden="1" customWidth="1"/>
    <col min="17" max="17" width="13.85546875" style="64" hidden="1" customWidth="1"/>
    <col min="18" max="18" width="11.42578125" style="67" hidden="1" customWidth="1"/>
    <col min="19" max="19" width="17" style="64" hidden="1" customWidth="1"/>
    <col min="20" max="20" width="12.42578125" style="64" hidden="1" customWidth="1"/>
    <col min="21" max="21" width="15.140625" style="64" hidden="1" customWidth="1"/>
    <col min="22" max="22" width="15.85546875" style="64" hidden="1" customWidth="1"/>
    <col min="23" max="23" width="16.28515625" style="64" hidden="1" customWidth="1"/>
    <col min="24" max="24" width="12" style="64" hidden="1" customWidth="1"/>
    <col min="25" max="25" width="13.85546875" style="64" hidden="1" customWidth="1"/>
    <col min="26" max="27" width="0" style="64" hidden="1" customWidth="1"/>
    <col min="28" max="28" width="9.140625" style="64"/>
    <col min="29" max="29" width="12.7109375" style="64" customWidth="1"/>
    <col min="30" max="30" width="10.7109375" style="64" customWidth="1"/>
    <col min="31" max="31" width="9.140625" style="64"/>
    <col min="32" max="32" width="16.7109375" style="64" customWidth="1"/>
    <col min="33" max="33" width="11" style="64" customWidth="1"/>
    <col min="34" max="34" width="9.140625" style="64"/>
    <col min="35" max="35" width="13.5703125" style="64" customWidth="1"/>
    <col min="36" max="36" width="10.5703125" style="64" customWidth="1"/>
    <col min="37" max="37" width="9.140625" style="64"/>
    <col min="38" max="38" width="13" style="64" customWidth="1"/>
    <col min="39" max="39" width="10" style="64" customWidth="1"/>
    <col min="40" max="16384" width="9.140625" style="64"/>
  </cols>
  <sheetData>
    <row r="1" spans="1:39" ht="18.75" x14ac:dyDescent="0.3">
      <c r="B1" s="65" t="s">
        <v>71</v>
      </c>
      <c r="C1" s="66"/>
      <c r="G1" s="66"/>
      <c r="Q1" s="66"/>
    </row>
    <row r="2" spans="1:39" ht="18.75" x14ac:dyDescent="0.3">
      <c r="B2" s="65" t="s">
        <v>95</v>
      </c>
      <c r="C2" s="66"/>
      <c r="G2" s="66"/>
      <c r="Q2" s="66"/>
    </row>
    <row r="3" spans="1:39" ht="15.75" thickBot="1" x14ac:dyDescent="0.3"/>
    <row r="4" spans="1:39" ht="15.75" thickBot="1" x14ac:dyDescent="0.3">
      <c r="B4" s="832" t="s">
        <v>62</v>
      </c>
      <c r="C4" s="834" t="s">
        <v>64</v>
      </c>
      <c r="D4" s="68" t="s">
        <v>45</v>
      </c>
      <c r="E4" s="69" t="s">
        <v>45</v>
      </c>
      <c r="F4" s="69" t="s">
        <v>96</v>
      </c>
      <c r="G4" s="836" t="s">
        <v>57</v>
      </c>
      <c r="H4" s="837"/>
      <c r="I4" s="838" t="s">
        <v>92</v>
      </c>
      <c r="J4" s="839"/>
      <c r="K4" s="70" t="s">
        <v>52</v>
      </c>
      <c r="L4" s="71" t="s">
        <v>63</v>
      </c>
      <c r="M4" s="72" t="s">
        <v>48</v>
      </c>
      <c r="N4" s="73" t="s">
        <v>63</v>
      </c>
      <c r="O4" s="74" t="s">
        <v>47</v>
      </c>
      <c r="P4" s="74" t="s">
        <v>80</v>
      </c>
      <c r="Q4" s="840" t="s">
        <v>56</v>
      </c>
      <c r="R4" s="841"/>
      <c r="S4" s="75" t="s">
        <v>58</v>
      </c>
      <c r="T4" s="76" t="s">
        <v>59</v>
      </c>
      <c r="U4" s="77" t="s">
        <v>61</v>
      </c>
      <c r="V4" s="78" t="s">
        <v>65</v>
      </c>
      <c r="W4" s="79" t="s">
        <v>67</v>
      </c>
    </row>
    <row r="5" spans="1:39" ht="13.5" thickBot="1" x14ac:dyDescent="0.25">
      <c r="B5" s="833"/>
      <c r="C5" s="835"/>
      <c r="D5" s="80" t="s">
        <v>28</v>
      </c>
      <c r="E5" s="81" t="s">
        <v>27</v>
      </c>
      <c r="F5" s="82" t="s">
        <v>90</v>
      </c>
      <c r="G5" s="83" t="s">
        <v>84</v>
      </c>
      <c r="H5" s="78" t="s">
        <v>85</v>
      </c>
      <c r="I5" s="84" t="s">
        <v>84</v>
      </c>
      <c r="J5" s="85" t="s">
        <v>93</v>
      </c>
      <c r="K5" s="86"/>
      <c r="L5" s="842"/>
      <c r="M5" s="87"/>
      <c r="N5" s="88" t="s">
        <v>81</v>
      </c>
      <c r="O5" s="89"/>
      <c r="P5" s="89" t="s">
        <v>66</v>
      </c>
      <c r="Q5" s="90" t="s">
        <v>22</v>
      </c>
      <c r="R5" s="91" t="s">
        <v>46</v>
      </c>
      <c r="S5" s="92"/>
      <c r="T5" s="93"/>
      <c r="U5" s="93"/>
      <c r="V5" s="94" t="s">
        <v>66</v>
      </c>
      <c r="W5" s="94" t="s">
        <v>66</v>
      </c>
    </row>
    <row r="6" spans="1:39" ht="12.75" x14ac:dyDescent="0.2">
      <c r="B6" s="845">
        <v>-0.39</v>
      </c>
      <c r="C6" s="847"/>
      <c r="D6" s="849" t="s">
        <v>91</v>
      </c>
      <c r="E6" s="851"/>
      <c r="F6" s="865" t="s">
        <v>83</v>
      </c>
      <c r="G6" s="867"/>
      <c r="H6" s="869"/>
      <c r="I6" s="855"/>
      <c r="J6" s="871" t="s">
        <v>94</v>
      </c>
      <c r="K6" s="95"/>
      <c r="L6" s="843"/>
      <c r="M6" s="95" t="s">
        <v>50</v>
      </c>
      <c r="N6" s="872"/>
      <c r="O6" s="96"/>
      <c r="P6" s="96"/>
      <c r="Q6" s="97" t="s">
        <v>49</v>
      </c>
      <c r="R6" s="95" t="s">
        <v>50</v>
      </c>
      <c r="S6" s="92"/>
      <c r="T6" s="93"/>
      <c r="U6" s="93"/>
      <c r="V6" s="855"/>
      <c r="W6" s="855"/>
    </row>
    <row r="7" spans="1:39" ht="36.75" thickBot="1" x14ac:dyDescent="0.25">
      <c r="B7" s="846"/>
      <c r="C7" s="848"/>
      <c r="D7" s="850"/>
      <c r="E7" s="852"/>
      <c r="F7" s="866"/>
      <c r="G7" s="868"/>
      <c r="H7" s="870"/>
      <c r="I7" s="856"/>
      <c r="J7" s="844"/>
      <c r="K7" s="98">
        <v>-0.25</v>
      </c>
      <c r="L7" s="844"/>
      <c r="M7" s="99" t="s">
        <v>69</v>
      </c>
      <c r="N7" s="873"/>
      <c r="O7" s="100"/>
      <c r="P7" s="100"/>
      <c r="Q7" s="101"/>
      <c r="R7" s="102"/>
      <c r="S7" s="103"/>
      <c r="T7" s="104"/>
      <c r="U7" s="105"/>
      <c r="V7" s="856"/>
      <c r="W7" s="856"/>
    </row>
    <row r="8" spans="1:39" ht="15.75" thickBot="1" x14ac:dyDescent="0.3">
      <c r="B8" s="857" t="s">
        <v>88</v>
      </c>
      <c r="C8" s="858"/>
      <c r="D8" s="106"/>
      <c r="E8" s="69"/>
      <c r="F8" s="74"/>
      <c r="G8" s="107">
        <v>214599</v>
      </c>
      <c r="H8" s="108">
        <v>243063</v>
      </c>
      <c r="I8" s="109">
        <v>214599</v>
      </c>
      <c r="J8" s="110">
        <v>243063</v>
      </c>
      <c r="K8" s="111"/>
      <c r="L8" s="112">
        <v>457662</v>
      </c>
      <c r="M8" s="72"/>
      <c r="N8" s="873"/>
      <c r="O8" s="113"/>
      <c r="P8" s="113"/>
      <c r="Q8" s="114"/>
      <c r="R8" s="115"/>
      <c r="S8" s="103"/>
      <c r="T8" s="104"/>
      <c r="U8" s="105"/>
      <c r="V8" s="105"/>
      <c r="W8" s="113"/>
    </row>
    <row r="9" spans="1:39" ht="15.75" thickBot="1" x14ac:dyDescent="0.3">
      <c r="B9" s="116" t="s">
        <v>87</v>
      </c>
      <c r="C9" s="117"/>
      <c r="D9" s="118" t="s">
        <v>51</v>
      </c>
      <c r="E9" s="119"/>
      <c r="F9" s="120"/>
      <c r="G9" s="121" t="s">
        <v>51</v>
      </c>
      <c r="H9" s="122" t="s">
        <v>51</v>
      </c>
      <c r="I9" s="121" t="s">
        <v>51</v>
      </c>
      <c r="J9" s="123">
        <v>-0.34399999999999997</v>
      </c>
      <c r="K9" s="124"/>
      <c r="L9" s="125">
        <v>83604</v>
      </c>
      <c r="M9" s="126"/>
      <c r="N9" s="873"/>
      <c r="O9" s="127">
        <v>72753</v>
      </c>
      <c r="P9" s="128">
        <v>10851</v>
      </c>
      <c r="Q9" s="129" t="s">
        <v>51</v>
      </c>
      <c r="R9" s="130" t="s">
        <v>51</v>
      </c>
      <c r="S9" s="131"/>
      <c r="T9" s="76"/>
      <c r="U9" s="132">
        <v>74454</v>
      </c>
      <c r="V9" s="133">
        <v>9150</v>
      </c>
      <c r="W9" s="134">
        <v>0.1257680095666158</v>
      </c>
    </row>
    <row r="10" spans="1:39" ht="15.75" thickBot="1" x14ac:dyDescent="0.3">
      <c r="B10" s="838"/>
      <c r="C10" s="839"/>
      <c r="D10" s="135"/>
      <c r="E10" s="136"/>
      <c r="F10" s="137"/>
      <c r="G10" s="135"/>
      <c r="H10" s="138"/>
      <c r="I10" s="139"/>
      <c r="J10" s="140">
        <v>159459</v>
      </c>
      <c r="K10" s="141"/>
      <c r="L10" s="142"/>
      <c r="M10" s="143"/>
      <c r="N10" s="873"/>
      <c r="O10" s="144"/>
      <c r="P10" s="145"/>
      <c r="Q10" s="135"/>
      <c r="R10" s="146"/>
      <c r="S10" s="145"/>
      <c r="T10" s="93"/>
      <c r="U10" s="147"/>
      <c r="V10" s="141"/>
      <c r="W10" s="148"/>
    </row>
    <row r="11" spans="1:39" ht="48.75" thickBot="1" x14ac:dyDescent="0.3">
      <c r="B11" s="859" t="s">
        <v>86</v>
      </c>
      <c r="C11" s="860"/>
      <c r="D11" s="149" t="s">
        <v>89</v>
      </c>
      <c r="E11" s="150"/>
      <c r="F11" s="151"/>
      <c r="G11" s="152"/>
      <c r="H11" s="150"/>
      <c r="I11" s="153">
        <v>-0.26</v>
      </c>
      <c r="J11" s="154">
        <v>-4.5999999999999999E-2</v>
      </c>
      <c r="K11" s="133"/>
      <c r="L11" s="155"/>
      <c r="M11" s="141"/>
      <c r="N11" s="873"/>
      <c r="O11" s="156">
        <v>61671</v>
      </c>
      <c r="P11" s="128">
        <v>-61671</v>
      </c>
      <c r="Q11" s="157"/>
      <c r="R11" s="158"/>
      <c r="S11" s="128"/>
      <c r="T11" s="159"/>
      <c r="U11" s="160"/>
      <c r="V11" s="161">
        <v>2162.3100000000122</v>
      </c>
      <c r="W11" s="162">
        <v>3.5062022668677535E-2</v>
      </c>
      <c r="X11" s="163"/>
    </row>
    <row r="12" spans="1:39" ht="15.75" thickBot="1" x14ac:dyDescent="0.3">
      <c r="B12" s="861"/>
      <c r="C12" s="862"/>
      <c r="D12" s="164">
        <v>-5630</v>
      </c>
      <c r="E12" s="165"/>
      <c r="F12" s="166">
        <v>12200</v>
      </c>
      <c r="G12" s="167"/>
      <c r="H12" s="168"/>
      <c r="I12" s="169">
        <v>55795.739999999991</v>
      </c>
      <c r="J12" s="170">
        <v>11191.570000000007</v>
      </c>
      <c r="K12" s="141"/>
      <c r="L12" s="171">
        <v>66987.31</v>
      </c>
      <c r="M12" s="141"/>
      <c r="N12" s="873"/>
      <c r="O12" s="172"/>
      <c r="P12" s="173"/>
      <c r="Q12" s="174"/>
      <c r="R12" s="146"/>
      <c r="S12" s="173"/>
      <c r="T12" s="175"/>
      <c r="U12" s="176"/>
      <c r="V12" s="141"/>
      <c r="W12" s="177"/>
      <c r="X12" s="163"/>
    </row>
    <row r="13" spans="1:39" ht="15.75" thickBot="1" x14ac:dyDescent="0.3">
      <c r="B13" s="863"/>
      <c r="C13" s="864"/>
      <c r="D13" s="864"/>
      <c r="E13" s="864"/>
      <c r="F13" s="864"/>
      <c r="G13" s="864"/>
      <c r="H13" s="864"/>
      <c r="I13" s="864"/>
      <c r="J13" s="864"/>
      <c r="K13" s="864"/>
      <c r="L13" s="864"/>
      <c r="M13" s="178"/>
      <c r="N13" s="874"/>
      <c r="O13" s="178"/>
      <c r="P13" s="178"/>
      <c r="Q13" s="179"/>
      <c r="R13" s="179"/>
      <c r="S13" s="178"/>
      <c r="T13" s="180"/>
      <c r="U13" s="181"/>
      <c r="V13" s="182"/>
      <c r="W13" s="183"/>
      <c r="X13" s="163"/>
    </row>
    <row r="14" spans="1:39" ht="75.75" customHeight="1" thickBot="1" x14ac:dyDescent="0.3">
      <c r="B14" s="853" t="s">
        <v>102</v>
      </c>
      <c r="C14" s="854"/>
      <c r="D14" s="184">
        <v>127020</v>
      </c>
      <c r="E14" s="184">
        <v>2428</v>
      </c>
      <c r="F14" s="184">
        <v>85495</v>
      </c>
      <c r="G14" s="184">
        <v>214599.00043708098</v>
      </c>
      <c r="H14" s="184">
        <v>243062.99999999991</v>
      </c>
      <c r="I14" s="185">
        <v>158803.26</v>
      </c>
      <c r="J14" s="186">
        <v>148267.43</v>
      </c>
      <c r="K14" s="124"/>
      <c r="L14" s="187">
        <v>307070.69</v>
      </c>
      <c r="M14" s="124"/>
      <c r="N14" s="188"/>
      <c r="O14" s="188"/>
      <c r="P14" s="172"/>
      <c r="Q14" s="189"/>
      <c r="R14" s="190"/>
      <c r="S14" s="191"/>
      <c r="T14" s="192"/>
      <c r="U14" s="193"/>
      <c r="V14" s="124"/>
      <c r="W14" s="194"/>
      <c r="AC14" s="195" t="s">
        <v>106</v>
      </c>
      <c r="AD14" s="196" t="s">
        <v>107</v>
      </c>
      <c r="AF14" s="196" t="s">
        <v>108</v>
      </c>
      <c r="AG14" s="196" t="s">
        <v>107</v>
      </c>
      <c r="AI14" s="196" t="s">
        <v>109</v>
      </c>
      <c r="AJ14" s="196" t="s">
        <v>107</v>
      </c>
      <c r="AL14" s="196" t="s">
        <v>110</v>
      </c>
      <c r="AM14" s="196" t="s">
        <v>107</v>
      </c>
    </row>
    <row r="15" spans="1:39" ht="15.75" thickBot="1" x14ac:dyDescent="0.3">
      <c r="B15" s="197" t="s">
        <v>1</v>
      </c>
      <c r="C15" s="198">
        <v>3110</v>
      </c>
      <c r="D15" s="199">
        <v>1059</v>
      </c>
      <c r="E15" s="200"/>
      <c r="F15" s="201"/>
      <c r="G15" s="199"/>
      <c r="H15" s="202"/>
      <c r="I15" s="199"/>
      <c r="J15" s="200"/>
      <c r="K15" s="201"/>
      <c r="L15" s="203"/>
      <c r="M15" s="201"/>
      <c r="N15" s="204">
        <v>52626.109296248054</v>
      </c>
      <c r="O15" s="205"/>
      <c r="P15" s="205"/>
      <c r="Q15" s="206"/>
      <c r="R15" s="200"/>
      <c r="S15" s="207"/>
      <c r="T15" s="208"/>
      <c r="U15" s="209"/>
      <c r="V15" s="205"/>
      <c r="W15" s="210"/>
      <c r="X15" s="211" t="s">
        <v>99</v>
      </c>
      <c r="Y15" s="212" t="s">
        <v>97</v>
      </c>
      <c r="Z15" s="213" t="s">
        <v>98</v>
      </c>
      <c r="AB15" s="64" t="s">
        <v>1</v>
      </c>
    </row>
    <row r="16" spans="1:39" x14ac:dyDescent="0.25">
      <c r="A16" s="64" t="s">
        <v>111</v>
      </c>
      <c r="B16" s="214" t="s">
        <v>29</v>
      </c>
      <c r="C16" s="215">
        <v>3111</v>
      </c>
      <c r="D16" s="216">
        <v>24804</v>
      </c>
      <c r="E16" s="217">
        <v>0</v>
      </c>
      <c r="F16" s="218">
        <v>0</v>
      </c>
      <c r="G16" s="219">
        <v>12372.393426229904</v>
      </c>
      <c r="H16" s="220">
        <v>22243.381052693017</v>
      </c>
      <c r="I16" s="216">
        <v>9155.5711354101295</v>
      </c>
      <c r="J16" s="217">
        <v>13568.46244214274</v>
      </c>
      <c r="K16" s="218"/>
      <c r="L16" s="221">
        <v>22724.033577552869</v>
      </c>
      <c r="M16" s="143">
        <v>0</v>
      </c>
      <c r="N16" s="172"/>
      <c r="O16" s="222">
        <v>26033.274400000002</v>
      </c>
      <c r="P16" s="223">
        <v>-3309.2408224471328</v>
      </c>
      <c r="Q16" s="224">
        <v>11321</v>
      </c>
      <c r="R16" s="217">
        <v>22361</v>
      </c>
      <c r="S16" s="145">
        <v>-3309.2408224471328</v>
      </c>
      <c r="T16" s="225">
        <v>18823</v>
      </c>
      <c r="U16" s="226">
        <v>20052.274400000002</v>
      </c>
      <c r="V16" s="226">
        <v>2671.7591775528672</v>
      </c>
      <c r="W16" s="227">
        <v>0.13323970758912351</v>
      </c>
      <c r="X16" s="228">
        <v>7648.7255999999998</v>
      </c>
      <c r="Y16" s="228">
        <v>11891.740901370049</v>
      </c>
      <c r="Z16" s="229">
        <v>4243.0153013700492</v>
      </c>
      <c r="AB16" s="64" t="s">
        <v>29</v>
      </c>
      <c r="AC16" s="228">
        <v>20871.94671234626</v>
      </c>
      <c r="AD16" s="228">
        <v>-1371.4343403467574</v>
      </c>
      <c r="AF16" s="228">
        <v>21105.449289855926</v>
      </c>
      <c r="AG16" s="228">
        <v>-1137.9317628370918</v>
      </c>
      <c r="AI16" s="228">
        <v>21200.737138519686</v>
      </c>
      <c r="AJ16" s="228">
        <v>-1042.6439141733317</v>
      </c>
      <c r="AL16" s="228">
        <v>21302.686675294073</v>
      </c>
      <c r="AM16" s="228">
        <v>-940.6943773989442</v>
      </c>
    </row>
    <row r="17" spans="1:39" x14ac:dyDescent="0.25">
      <c r="A17" s="64" t="s">
        <v>112</v>
      </c>
      <c r="B17" s="230" t="s">
        <v>0</v>
      </c>
      <c r="C17" s="231">
        <v>3112</v>
      </c>
      <c r="D17" s="232">
        <v>14315</v>
      </c>
      <c r="E17" s="233">
        <v>-12</v>
      </c>
      <c r="F17" s="234">
        <v>0</v>
      </c>
      <c r="G17" s="235">
        <v>7682.6141365449512</v>
      </c>
      <c r="H17" s="236">
        <v>11062.804880530315</v>
      </c>
      <c r="I17" s="232">
        <v>5685.1344610432634</v>
      </c>
      <c r="J17" s="237">
        <v>6748.3109771234922</v>
      </c>
      <c r="K17" s="234"/>
      <c r="L17" s="238">
        <v>12433.445438166757</v>
      </c>
      <c r="M17" s="239">
        <v>0</v>
      </c>
      <c r="N17" s="172"/>
      <c r="O17" s="222">
        <v>12644.671200000001</v>
      </c>
      <c r="P17" s="223">
        <v>-211.22576183324418</v>
      </c>
      <c r="Q17" s="224">
        <v>6983</v>
      </c>
      <c r="R17" s="217">
        <v>11536</v>
      </c>
      <c r="S17" s="145">
        <v>-211.22576183324418</v>
      </c>
      <c r="T17" s="225">
        <v>9041</v>
      </c>
      <c r="U17" s="226">
        <v>7370.6712000000007</v>
      </c>
      <c r="V17" s="226">
        <v>5062.7742381667558</v>
      </c>
      <c r="W17" s="227">
        <v>0.68688103169854531</v>
      </c>
      <c r="X17" s="228">
        <v>5874.3288000000002</v>
      </c>
      <c r="Y17" s="228">
        <v>6311.9735789085098</v>
      </c>
      <c r="Z17" s="228">
        <v>437.64477890850958</v>
      </c>
      <c r="AB17" s="64" t="s">
        <v>0</v>
      </c>
      <c r="AC17" s="228">
        <v>10870.816888833659</v>
      </c>
      <c r="AD17" s="228">
        <v>-191.98799169665654</v>
      </c>
      <c r="AF17" s="228">
        <v>11244.146831933231</v>
      </c>
      <c r="AG17" s="228">
        <v>181.34195140291558</v>
      </c>
      <c r="AI17" s="228">
        <v>11052.458708024607</v>
      </c>
      <c r="AJ17" s="228">
        <v>-10.346172505707727</v>
      </c>
      <c r="AL17" s="228">
        <v>10930.195243413571</v>
      </c>
      <c r="AM17" s="228">
        <v>-132.60963711674412</v>
      </c>
    </row>
    <row r="18" spans="1:39" ht="15.75" thickBot="1" x14ac:dyDescent="0.3">
      <c r="A18" s="64" t="s">
        <v>113</v>
      </c>
      <c r="B18" s="240" t="s">
        <v>79</v>
      </c>
      <c r="C18" s="241">
        <v>3113</v>
      </c>
      <c r="D18" s="242">
        <v>8007</v>
      </c>
      <c r="E18" s="243">
        <v>-17</v>
      </c>
      <c r="F18" s="244">
        <v>500</v>
      </c>
      <c r="G18" s="245">
        <v>6075.6962624412108</v>
      </c>
      <c r="H18" s="246">
        <v>21266.582043150709</v>
      </c>
      <c r="I18" s="242">
        <v>4496.0152342064957</v>
      </c>
      <c r="J18" s="247">
        <v>12972.615046321933</v>
      </c>
      <c r="K18" s="244"/>
      <c r="L18" s="248">
        <v>17468.630280528429</v>
      </c>
      <c r="M18" s="249">
        <v>0</v>
      </c>
      <c r="N18" s="188"/>
      <c r="O18" s="250">
        <v>17720.4408</v>
      </c>
      <c r="P18" s="156">
        <v>-251.81051947157175</v>
      </c>
      <c r="Q18" s="251">
        <v>4867</v>
      </c>
      <c r="R18" s="247">
        <v>18674</v>
      </c>
      <c r="S18" s="252">
        <v>-251.81051947157175</v>
      </c>
      <c r="T18" s="253">
        <v>9406</v>
      </c>
      <c r="U18" s="249">
        <v>18619.4408</v>
      </c>
      <c r="V18" s="254">
        <v>-1150.8105194715718</v>
      </c>
      <c r="W18" s="255">
        <v>-6.1806932433307649E-2</v>
      </c>
      <c r="X18" s="228">
        <v>5820.5591999999997</v>
      </c>
      <c r="Y18" s="228">
        <v>9873.6480250634922</v>
      </c>
      <c r="Z18" s="229">
        <v>4053.0888250634925</v>
      </c>
      <c r="AB18" s="64" t="s">
        <v>79</v>
      </c>
      <c r="AC18" s="228">
        <v>19645.117171112513</v>
      </c>
      <c r="AD18" s="228">
        <v>-1621.4648720381956</v>
      </c>
      <c r="AF18" s="228">
        <v>19931.089668163066</v>
      </c>
      <c r="AG18" s="228">
        <v>-1335.4923749876434</v>
      </c>
      <c r="AI18" s="228">
        <v>20219.086611078455</v>
      </c>
      <c r="AJ18" s="228">
        <v>-1047.4954320722536</v>
      </c>
      <c r="AL18" s="228">
        <v>20465.637003364747</v>
      </c>
      <c r="AM18" s="228">
        <v>-800.94503978596185</v>
      </c>
    </row>
    <row r="19" spans="1:39" ht="15.75" thickBot="1" x14ac:dyDescent="0.3">
      <c r="B19" s="197" t="s">
        <v>2</v>
      </c>
      <c r="C19" s="198">
        <v>3120</v>
      </c>
      <c r="D19" s="199">
        <v>1614</v>
      </c>
      <c r="E19" s="200">
        <v>1247</v>
      </c>
      <c r="F19" s="201"/>
      <c r="G19" s="199"/>
      <c r="H19" s="202"/>
      <c r="I19" s="199"/>
      <c r="J19" s="200"/>
      <c r="K19" s="201"/>
      <c r="L19" s="203"/>
      <c r="M19" s="201"/>
      <c r="N19" s="204">
        <v>41986.585088291802</v>
      </c>
      <c r="O19" s="205"/>
      <c r="P19" s="205"/>
      <c r="Q19" s="256"/>
      <c r="R19" s="200"/>
      <c r="S19" s="207"/>
      <c r="T19" s="208"/>
      <c r="U19" s="209"/>
      <c r="V19" s="205"/>
      <c r="W19" s="210"/>
      <c r="X19" s="228"/>
      <c r="Z19" s="228"/>
      <c r="AB19" s="64" t="s">
        <v>2</v>
      </c>
      <c r="AC19" s="228"/>
      <c r="AD19" s="228"/>
      <c r="AF19" s="228"/>
      <c r="AG19" s="228"/>
      <c r="AI19" s="228"/>
      <c r="AJ19" s="228"/>
      <c r="AL19" s="228"/>
      <c r="AM19" s="228"/>
    </row>
    <row r="20" spans="1:39" x14ac:dyDescent="0.25">
      <c r="A20" s="64" t="s">
        <v>114</v>
      </c>
      <c r="B20" s="214" t="s">
        <v>3</v>
      </c>
      <c r="C20" s="215">
        <v>3122</v>
      </c>
      <c r="D20" s="216">
        <v>8639</v>
      </c>
      <c r="E20" s="217">
        <v>192</v>
      </c>
      <c r="F20" s="218">
        <v>0</v>
      </c>
      <c r="G20" s="219">
        <v>2753.9584891833688</v>
      </c>
      <c r="H20" s="236">
        <v>10492.186005225267</v>
      </c>
      <c r="I20" s="216">
        <v>2037.9292819956929</v>
      </c>
      <c r="J20" s="217">
        <v>6400.2334631874128</v>
      </c>
      <c r="K20" s="234"/>
      <c r="L20" s="221">
        <v>8438.1627451831064</v>
      </c>
      <c r="M20" s="143">
        <v>0</v>
      </c>
      <c r="N20" s="172"/>
      <c r="O20" s="222">
        <v>8819.141599999999</v>
      </c>
      <c r="P20" s="223">
        <v>-380.97885481689264</v>
      </c>
      <c r="Q20" s="224">
        <v>3205</v>
      </c>
      <c r="R20" s="237">
        <v>10198</v>
      </c>
      <c r="S20" s="145">
        <v>-380.97885481689264</v>
      </c>
      <c r="T20" s="225">
        <v>7386</v>
      </c>
      <c r="U20" s="226">
        <v>7566.141599999999</v>
      </c>
      <c r="V20" s="257">
        <v>872.02114518310736</v>
      </c>
      <c r="W20" s="258">
        <v>0.11525308291654328</v>
      </c>
      <c r="X20" s="225">
        <v>4583.8584000000001</v>
      </c>
      <c r="Y20" s="228">
        <v>4807.9817492255297</v>
      </c>
      <c r="Z20" s="259">
        <v>224.12334922552964</v>
      </c>
      <c r="AA20" s="260" t="s">
        <v>23</v>
      </c>
      <c r="AB20" s="64" t="s">
        <v>3</v>
      </c>
      <c r="AC20" s="228">
        <v>14116.614560910381</v>
      </c>
      <c r="AD20" s="228">
        <v>3624.4285556851137</v>
      </c>
      <c r="AF20" s="228">
        <v>14208.29448374721</v>
      </c>
      <c r="AG20" s="228">
        <v>3716.1084785219427</v>
      </c>
      <c r="AI20" s="228">
        <v>13943.627228786187</v>
      </c>
      <c r="AJ20" s="228">
        <v>3451.4412235609198</v>
      </c>
      <c r="AL20" s="228">
        <v>13764.730756532823</v>
      </c>
      <c r="AM20" s="228">
        <v>3272.544751307556</v>
      </c>
    </row>
    <row r="21" spans="1:39" x14ac:dyDescent="0.25">
      <c r="A21" s="64" t="s">
        <v>115</v>
      </c>
      <c r="B21" s="214" t="s">
        <v>30</v>
      </c>
      <c r="C21" s="215">
        <v>3123</v>
      </c>
      <c r="D21" s="216">
        <v>10964</v>
      </c>
      <c r="E21" s="217">
        <v>100</v>
      </c>
      <c r="F21" s="218">
        <v>2000</v>
      </c>
      <c r="G21" s="219">
        <v>25404.547677230064</v>
      </c>
      <c r="H21" s="220">
        <v>13183.989851356388</v>
      </c>
      <c r="I21" s="216">
        <v>18799.365281150247</v>
      </c>
      <c r="J21" s="217">
        <v>8042.2338093273966</v>
      </c>
      <c r="K21" s="234"/>
      <c r="L21" s="221">
        <v>26841.599090477644</v>
      </c>
      <c r="M21" s="143">
        <v>0</v>
      </c>
      <c r="N21" s="172"/>
      <c r="O21" s="222">
        <v>27861.748</v>
      </c>
      <c r="P21" s="223">
        <v>-1020.1489095223551</v>
      </c>
      <c r="Q21" s="224">
        <v>25641</v>
      </c>
      <c r="R21" s="237">
        <v>13714</v>
      </c>
      <c r="S21" s="145">
        <v>-1020.1489095223551</v>
      </c>
      <c r="T21" s="225">
        <v>10076</v>
      </c>
      <c r="U21" s="226">
        <v>24973.748</v>
      </c>
      <c r="V21" s="226">
        <v>1867.8510904776449</v>
      </c>
      <c r="W21" s="227">
        <v>7.4792581813416428E-2</v>
      </c>
      <c r="X21" s="228">
        <v>11493.252</v>
      </c>
      <c r="Y21" s="228">
        <v>11746.938438108806</v>
      </c>
      <c r="Z21" s="228">
        <v>253.68643810880531</v>
      </c>
      <c r="AB21" s="64" t="s">
        <v>30</v>
      </c>
      <c r="AC21" s="228">
        <v>12452.805291613498</v>
      </c>
      <c r="AD21" s="228">
        <v>-731.18455974288918</v>
      </c>
      <c r="AF21" s="228">
        <v>12687.625644882297</v>
      </c>
      <c r="AG21" s="228">
        <v>-496.36420647409068</v>
      </c>
      <c r="AI21" s="228">
        <v>12405.754832805193</v>
      </c>
      <c r="AJ21" s="228">
        <v>-778.23501855119503</v>
      </c>
      <c r="AL21" s="228">
        <v>12228.590102103608</v>
      </c>
      <c r="AM21" s="228">
        <v>-955.39974925277966</v>
      </c>
    </row>
    <row r="22" spans="1:39" x14ac:dyDescent="0.25">
      <c r="A22" s="64" t="s">
        <v>78</v>
      </c>
      <c r="B22" s="214" t="s">
        <v>4</v>
      </c>
      <c r="C22" s="215">
        <v>3125</v>
      </c>
      <c r="D22" s="216">
        <v>665</v>
      </c>
      <c r="E22" s="261">
        <v>-138</v>
      </c>
      <c r="F22" s="218">
        <v>15000</v>
      </c>
      <c r="G22" s="219">
        <v>3303.0002378909703</v>
      </c>
      <c r="H22" s="262">
        <v>1998.3932567032462</v>
      </c>
      <c r="I22" s="216">
        <v>2444.2201760393182</v>
      </c>
      <c r="J22" s="217">
        <v>1219.0198865889802</v>
      </c>
      <c r="K22" s="234"/>
      <c r="L22" s="221">
        <v>3663.0400626282985</v>
      </c>
      <c r="M22" s="143">
        <v>0</v>
      </c>
      <c r="N22" s="172"/>
      <c r="O22" s="222">
        <v>311.22000000000116</v>
      </c>
      <c r="P22" s="223">
        <v>3351.8200626282974</v>
      </c>
      <c r="Q22" s="224">
        <v>3141</v>
      </c>
      <c r="R22" s="237">
        <v>1539</v>
      </c>
      <c r="S22" s="145">
        <v>3351.8200626282974</v>
      </c>
      <c r="T22" s="225">
        <v>16731</v>
      </c>
      <c r="U22" s="226">
        <v>1377.2200000000012</v>
      </c>
      <c r="V22" s="257">
        <v>2285.8200626282974</v>
      </c>
      <c r="W22" s="227">
        <v>1.6597348736064648</v>
      </c>
      <c r="X22" s="228">
        <v>4368.78</v>
      </c>
      <c r="Y22" s="228">
        <v>1638.3534319659179</v>
      </c>
      <c r="Z22" s="259">
        <v>-2730.4265680340818</v>
      </c>
      <c r="AA22" s="260" t="s">
        <v>23</v>
      </c>
      <c r="AB22" s="64" t="s">
        <v>4</v>
      </c>
      <c r="AC22" s="228">
        <v>1743.6231087469896</v>
      </c>
      <c r="AD22" s="228">
        <v>-254.77014795625655</v>
      </c>
      <c r="AF22" s="228">
        <v>1762.8385537681195</v>
      </c>
      <c r="AG22" s="228">
        <v>-235.55470293512667</v>
      </c>
      <c r="AI22" s="228">
        <v>1739.4417899600285</v>
      </c>
      <c r="AJ22" s="228">
        <v>-258.95146674321768</v>
      </c>
      <c r="AL22" s="228">
        <v>1726.2615436793183</v>
      </c>
      <c r="AM22" s="228">
        <v>-272.13171302392789</v>
      </c>
    </row>
    <row r="23" spans="1:39" ht="15.75" thickBot="1" x14ac:dyDescent="0.3">
      <c r="A23" s="64" t="s">
        <v>116</v>
      </c>
      <c r="B23" s="240" t="s">
        <v>5</v>
      </c>
      <c r="C23" s="241">
        <v>3127</v>
      </c>
      <c r="D23" s="242">
        <v>6248</v>
      </c>
      <c r="E23" s="247">
        <v>431</v>
      </c>
      <c r="F23" s="244">
        <v>0</v>
      </c>
      <c r="G23" s="245">
        <v>2699.3390178819122</v>
      </c>
      <c r="H23" s="263">
        <v>1714.5447815903913</v>
      </c>
      <c r="I23" s="242">
        <v>1997.510873232615</v>
      </c>
      <c r="J23" s="247">
        <v>1045.8723167701387</v>
      </c>
      <c r="K23" s="161"/>
      <c r="L23" s="248">
        <v>3043.7831900027536</v>
      </c>
      <c r="M23" s="249">
        <v>0</v>
      </c>
      <c r="N23" s="188"/>
      <c r="O23" s="250">
        <v>4019.119200000001</v>
      </c>
      <c r="P23" s="156">
        <v>-975.3360099972474</v>
      </c>
      <c r="Q23" s="251">
        <v>2914</v>
      </c>
      <c r="R23" s="264">
        <v>3350</v>
      </c>
      <c r="S23" s="252">
        <v>-975.3360099972474</v>
      </c>
      <c r="T23" s="253">
        <v>6661</v>
      </c>
      <c r="U23" s="249">
        <v>4432.119200000001</v>
      </c>
      <c r="V23" s="254">
        <v>-1388.3360099972474</v>
      </c>
      <c r="W23" s="265">
        <v>-0.31324428503575608</v>
      </c>
      <c r="X23" s="225">
        <v>2244.8807999999999</v>
      </c>
      <c r="Y23" s="228">
        <v>1370.1006094695499</v>
      </c>
      <c r="Z23" s="259">
        <v>-874.78019053045</v>
      </c>
      <c r="AA23" s="260" t="s">
        <v>11</v>
      </c>
      <c r="AB23" s="64" t="s">
        <v>5</v>
      </c>
      <c r="AC23" s="228">
        <v>3574.7865866592647</v>
      </c>
      <c r="AD23" s="228">
        <v>1860.2418050688734</v>
      </c>
      <c r="AF23" s="228">
        <v>3545.2262638029251</v>
      </c>
      <c r="AG23" s="228">
        <v>1830.6814822125339</v>
      </c>
      <c r="AI23" s="228">
        <v>3513.2317663105014</v>
      </c>
      <c r="AJ23" s="228">
        <v>1798.6869847201101</v>
      </c>
      <c r="AL23" s="228">
        <v>3472.3453002342876</v>
      </c>
      <c r="AM23" s="228">
        <v>1757.8005186438963</v>
      </c>
    </row>
    <row r="24" spans="1:39" ht="15.75" thickBot="1" x14ac:dyDescent="0.3">
      <c r="B24" s="197" t="s">
        <v>54</v>
      </c>
      <c r="C24" s="198">
        <v>3130</v>
      </c>
      <c r="D24" s="199">
        <v>992</v>
      </c>
      <c r="E24" s="200"/>
      <c r="F24" s="201"/>
      <c r="G24" s="199"/>
      <c r="H24" s="202"/>
      <c r="I24" s="199"/>
      <c r="J24" s="200"/>
      <c r="K24" s="201"/>
      <c r="L24" s="203"/>
      <c r="M24" s="201"/>
      <c r="N24" s="204">
        <v>44418.999717243089</v>
      </c>
      <c r="O24" s="205"/>
      <c r="P24" s="266"/>
      <c r="Q24" s="256"/>
      <c r="R24" s="200"/>
      <c r="S24" s="207"/>
      <c r="T24" s="208"/>
      <c r="U24" s="209"/>
      <c r="V24" s="205"/>
      <c r="W24" s="210"/>
      <c r="X24" s="228"/>
      <c r="Z24" s="228"/>
      <c r="AB24" s="64" t="s">
        <v>54</v>
      </c>
      <c r="AC24" s="228"/>
      <c r="AD24" s="228"/>
      <c r="AF24" s="228"/>
      <c r="AG24" s="228"/>
      <c r="AI24" s="228"/>
      <c r="AJ24" s="228"/>
      <c r="AL24" s="228"/>
      <c r="AM24" s="228"/>
    </row>
    <row r="25" spans="1:39" x14ac:dyDescent="0.25">
      <c r="A25" s="64" t="s">
        <v>72</v>
      </c>
      <c r="B25" s="214" t="s">
        <v>31</v>
      </c>
      <c r="C25" s="215">
        <v>3131</v>
      </c>
      <c r="D25" s="216">
        <v>0</v>
      </c>
      <c r="E25" s="217">
        <v>79</v>
      </c>
      <c r="F25" s="218">
        <v>0</v>
      </c>
      <c r="G25" s="219">
        <v>1422.1308913901844</v>
      </c>
      <c r="H25" s="236">
        <v>7941.4552788566689</v>
      </c>
      <c r="I25" s="216">
        <v>1052.3768596287364</v>
      </c>
      <c r="J25" s="217">
        <v>4844.2877201025676</v>
      </c>
      <c r="K25" s="234"/>
      <c r="L25" s="221">
        <v>5896.664579731304</v>
      </c>
      <c r="M25" s="143"/>
      <c r="N25" s="172"/>
      <c r="O25" s="222">
        <v>5918.9575999999997</v>
      </c>
      <c r="P25" s="223">
        <v>-22.293020268695727</v>
      </c>
      <c r="Q25" s="224">
        <v>1938</v>
      </c>
      <c r="R25" s="237">
        <v>7355</v>
      </c>
      <c r="S25" s="145">
        <v>-22.293020268695727</v>
      </c>
      <c r="T25" s="225">
        <v>5634</v>
      </c>
      <c r="U25" s="226">
        <v>11552.9576</v>
      </c>
      <c r="V25" s="257">
        <v>-5656.2930202686957</v>
      </c>
      <c r="W25" s="227">
        <v>-0.48959696868174224</v>
      </c>
      <c r="X25" s="228">
        <v>3374.0424000000003</v>
      </c>
      <c r="Y25" s="228">
        <v>3466.9215905155497</v>
      </c>
      <c r="Z25" s="259">
        <v>92.879190515549453</v>
      </c>
      <c r="AA25" s="260" t="s">
        <v>23</v>
      </c>
      <c r="AB25" s="64" t="s">
        <v>31</v>
      </c>
      <c r="AC25" s="228">
        <v>9858.7076027280054</v>
      </c>
      <c r="AD25" s="228">
        <v>1917.2523238713366</v>
      </c>
      <c r="AF25" s="228">
        <v>10142.634031735179</v>
      </c>
      <c r="AG25" s="228">
        <v>2201.1787528785098</v>
      </c>
      <c r="AI25" s="228">
        <v>9923.4416510817937</v>
      </c>
      <c r="AJ25" s="228">
        <v>1981.9863722251248</v>
      </c>
      <c r="AL25" s="228">
        <v>9792.8275630104727</v>
      </c>
      <c r="AM25" s="228">
        <v>1851.3722841538038</v>
      </c>
    </row>
    <row r="26" spans="1:39" x14ac:dyDescent="0.25">
      <c r="A26" s="64" t="s">
        <v>74</v>
      </c>
      <c r="B26" s="214" t="s">
        <v>32</v>
      </c>
      <c r="C26" s="231">
        <v>3132</v>
      </c>
      <c r="D26" s="216">
        <v>4134</v>
      </c>
      <c r="E26" s="217">
        <v>550</v>
      </c>
      <c r="F26" s="218">
        <v>3500</v>
      </c>
      <c r="G26" s="219">
        <v>3752.3714169854015</v>
      </c>
      <c r="H26" s="236">
        <v>14665.902649815296</v>
      </c>
      <c r="I26" s="216">
        <v>2776.7548485691973</v>
      </c>
      <c r="J26" s="217">
        <v>8946.2006163873302</v>
      </c>
      <c r="K26" s="234"/>
      <c r="L26" s="221">
        <v>11722.955464956527</v>
      </c>
      <c r="M26" s="143"/>
      <c r="N26" s="172"/>
      <c r="O26" s="222">
        <v>9517.9423999999999</v>
      </c>
      <c r="P26" s="223">
        <v>2205.0130649565272</v>
      </c>
      <c r="Q26" s="224">
        <v>3504</v>
      </c>
      <c r="R26" s="237">
        <v>14402</v>
      </c>
      <c r="S26" s="145">
        <v>2205.0130649565272</v>
      </c>
      <c r="T26" s="225">
        <v>9141</v>
      </c>
      <c r="U26" s="226">
        <v>11024.9424</v>
      </c>
      <c r="V26" s="267">
        <v>698.01306495652716</v>
      </c>
      <c r="W26" s="227">
        <v>6.3312173400246266E-2</v>
      </c>
      <c r="X26" s="228">
        <v>8388.0576000000001</v>
      </c>
      <c r="Y26" s="228">
        <v>6695.318601844172</v>
      </c>
      <c r="Z26" s="259">
        <v>-1692.7389981558281</v>
      </c>
      <c r="AA26" s="260" t="s">
        <v>23</v>
      </c>
      <c r="AB26" s="64" t="s">
        <v>32</v>
      </c>
      <c r="AC26" s="228">
        <v>15814.338975647937</v>
      </c>
      <c r="AD26" s="228">
        <v>1148.4363258326412</v>
      </c>
      <c r="AF26" s="228">
        <v>15517.896733046657</v>
      </c>
      <c r="AG26" s="228">
        <v>851.99408323136049</v>
      </c>
      <c r="AI26" s="228">
        <v>15532.6923032661</v>
      </c>
      <c r="AJ26" s="228">
        <v>866.7896534508036</v>
      </c>
      <c r="AL26" s="228">
        <v>15510.14694597153</v>
      </c>
      <c r="AM26" s="228">
        <v>844.24429615623376</v>
      </c>
    </row>
    <row r="27" spans="1:39" x14ac:dyDescent="0.25">
      <c r="A27" s="64" t="s">
        <v>117</v>
      </c>
      <c r="B27" s="214" t="s">
        <v>33</v>
      </c>
      <c r="C27" s="215">
        <v>3133</v>
      </c>
      <c r="D27" s="216">
        <v>421</v>
      </c>
      <c r="E27" s="217">
        <v>7</v>
      </c>
      <c r="F27" s="218">
        <v>1000</v>
      </c>
      <c r="G27" s="219">
        <v>3920.6787040757868</v>
      </c>
      <c r="H27" s="236">
        <v>9179.2638568767325</v>
      </c>
      <c r="I27" s="216">
        <v>2901.302241016082</v>
      </c>
      <c r="J27" s="217">
        <v>5599.3509526948064</v>
      </c>
      <c r="K27" s="234"/>
      <c r="L27" s="221">
        <v>8500.6531937108884</v>
      </c>
      <c r="M27" s="143"/>
      <c r="N27" s="172"/>
      <c r="O27" s="222">
        <v>5085.2423999999992</v>
      </c>
      <c r="P27" s="223">
        <v>3415.4107937108893</v>
      </c>
      <c r="Q27" s="224">
        <v>4045</v>
      </c>
      <c r="R27" s="237">
        <v>7748</v>
      </c>
      <c r="S27" s="145">
        <v>3415.4107937108893</v>
      </c>
      <c r="T27" s="225">
        <v>5307</v>
      </c>
      <c r="U27" s="226">
        <v>8971.2423999999992</v>
      </c>
      <c r="V27" s="267">
        <v>-470.58920628911073</v>
      </c>
      <c r="W27" s="227">
        <v>-5.2455299423088908E-2</v>
      </c>
      <c r="X27" s="228">
        <v>6707.7575999999999</v>
      </c>
      <c r="Y27" s="228">
        <v>4599.2893672416303</v>
      </c>
      <c r="Z27" s="259">
        <v>-2108.4682327583696</v>
      </c>
      <c r="AA27" s="260" t="s">
        <v>23</v>
      </c>
      <c r="AB27" s="64" t="s">
        <v>33</v>
      </c>
      <c r="AC27" s="228">
        <v>11086.804262929052</v>
      </c>
      <c r="AD27" s="228">
        <v>1907.5404060523197</v>
      </c>
      <c r="AF27" s="228">
        <v>10466.145046956279</v>
      </c>
      <c r="AG27" s="228">
        <v>1286.8811900795463</v>
      </c>
      <c r="AI27" s="228">
        <v>10593.765263632256</v>
      </c>
      <c r="AJ27" s="228">
        <v>1414.5014067555239</v>
      </c>
      <c r="AL27" s="228">
        <v>10639.480778957655</v>
      </c>
      <c r="AM27" s="228">
        <v>1460.2169220809228</v>
      </c>
    </row>
    <row r="28" spans="1:39" x14ac:dyDescent="0.25">
      <c r="A28" s="64" t="s">
        <v>77</v>
      </c>
      <c r="B28" s="214" t="s">
        <v>34</v>
      </c>
      <c r="C28" s="215">
        <v>3134</v>
      </c>
      <c r="D28" s="216">
        <v>12922</v>
      </c>
      <c r="E28" s="268">
        <v>-300</v>
      </c>
      <c r="F28" s="218"/>
      <c r="G28" s="219">
        <v>10331.426983302505</v>
      </c>
      <c r="H28" s="220">
        <v>8909.8716809188045</v>
      </c>
      <c r="I28" s="216">
        <v>7645.2559676438532</v>
      </c>
      <c r="J28" s="217">
        <v>5435.0217253604706</v>
      </c>
      <c r="K28" s="234"/>
      <c r="L28" s="221">
        <v>13080.277693004324</v>
      </c>
      <c r="M28" s="143"/>
      <c r="N28" s="172"/>
      <c r="O28" s="222">
        <v>13175.400000000001</v>
      </c>
      <c r="P28" s="223">
        <v>-95.122306995677718</v>
      </c>
      <c r="Q28" s="224">
        <v>8340</v>
      </c>
      <c r="R28" s="237">
        <v>8196</v>
      </c>
      <c r="S28" s="145">
        <v>-95.122306995677718</v>
      </c>
      <c r="T28" s="225">
        <v>5576</v>
      </c>
      <c r="U28" s="226">
        <v>5829.4000000000015</v>
      </c>
      <c r="V28" s="257">
        <v>7250.8776930043223</v>
      </c>
      <c r="W28" s="227">
        <v>1.2438463123141867</v>
      </c>
      <c r="X28" s="228">
        <v>3360.6000000000004</v>
      </c>
      <c r="Y28" s="228">
        <v>6161.0209712169835</v>
      </c>
      <c r="Z28" s="229">
        <v>2800.4209712169832</v>
      </c>
      <c r="AB28" s="64" t="s">
        <v>34</v>
      </c>
      <c r="AC28" s="228">
        <v>9232.7537654831194</v>
      </c>
      <c r="AD28" s="228">
        <v>322.88208456431494</v>
      </c>
      <c r="AF28" s="228">
        <v>9434.9945604043805</v>
      </c>
      <c r="AG28" s="228">
        <v>525.12287948557605</v>
      </c>
      <c r="AI28" s="228">
        <v>9204.636695668738</v>
      </c>
      <c r="AJ28" s="228">
        <v>294.76501474993347</v>
      </c>
      <c r="AL28" s="228">
        <v>9070.3245145540095</v>
      </c>
      <c r="AM28" s="228">
        <v>160.45283363520502</v>
      </c>
    </row>
    <row r="29" spans="1:39" ht="15.75" thickBot="1" x14ac:dyDescent="0.3">
      <c r="A29" s="64" t="s">
        <v>73</v>
      </c>
      <c r="B29" s="240" t="s">
        <v>35</v>
      </c>
      <c r="C29" s="241">
        <v>3135</v>
      </c>
      <c r="D29" s="242">
        <v>0</v>
      </c>
      <c r="E29" s="269">
        <v>-123</v>
      </c>
      <c r="F29" s="244">
        <v>2167</v>
      </c>
      <c r="G29" s="245">
        <v>1297.9033222165183</v>
      </c>
      <c r="H29" s="263">
        <v>6980.0005367210179</v>
      </c>
      <c r="I29" s="242">
        <v>960.44845844022348</v>
      </c>
      <c r="J29" s="217">
        <v>4257.8003273998211</v>
      </c>
      <c r="K29" s="161"/>
      <c r="L29" s="248">
        <v>5218.4487858400444</v>
      </c>
      <c r="M29" s="249"/>
      <c r="N29" s="188"/>
      <c r="O29" s="250">
        <v>10462.2112</v>
      </c>
      <c r="P29" s="270">
        <v>-5243.7624141599554</v>
      </c>
      <c r="Q29" s="251">
        <v>1012</v>
      </c>
      <c r="R29" s="264">
        <v>12300</v>
      </c>
      <c r="S29" s="252">
        <v>-5243.7624141599554</v>
      </c>
      <c r="T29" s="253">
        <v>3423</v>
      </c>
      <c r="U29" s="249">
        <v>11718.2112</v>
      </c>
      <c r="V29" s="254">
        <v>-6499.7624141599554</v>
      </c>
      <c r="W29" s="265">
        <v>-0.5546718951575097</v>
      </c>
      <c r="X29" s="228">
        <v>2849.7887999999998</v>
      </c>
      <c r="Y29" s="228">
        <v>3059.4550730974915</v>
      </c>
      <c r="Z29" s="259">
        <v>209.66627309749174</v>
      </c>
      <c r="AA29" s="260" t="s">
        <v>11</v>
      </c>
      <c r="AB29" s="64" t="s">
        <v>35</v>
      </c>
      <c r="AC29" s="228">
        <v>12342.693414959846</v>
      </c>
      <c r="AD29" s="228">
        <v>5362.6928782388277</v>
      </c>
      <c r="AF29" s="228">
        <v>12113.497855553884</v>
      </c>
      <c r="AG29" s="228">
        <v>5133.4973188328659</v>
      </c>
      <c r="AI29" s="228">
        <v>12300.786550209767</v>
      </c>
      <c r="AJ29" s="228">
        <v>5320.7860134887487</v>
      </c>
      <c r="AL29" s="228">
        <v>12370.374482833802</v>
      </c>
      <c r="AM29" s="228">
        <v>5390.3739461127843</v>
      </c>
    </row>
    <row r="30" spans="1:39" ht="15.75" thickBot="1" x14ac:dyDescent="0.3">
      <c r="B30" s="197" t="s">
        <v>6</v>
      </c>
      <c r="C30" s="198">
        <v>3140</v>
      </c>
      <c r="D30" s="199">
        <v>177</v>
      </c>
      <c r="E30" s="200"/>
      <c r="F30" s="201"/>
      <c r="G30" s="199"/>
      <c r="H30" s="202"/>
      <c r="I30" s="199"/>
      <c r="J30" s="200"/>
      <c r="K30" s="201"/>
      <c r="L30" s="203"/>
      <c r="M30" s="201"/>
      <c r="N30" s="204">
        <v>62950.915758790434</v>
      </c>
      <c r="O30" s="205"/>
      <c r="P30" s="205"/>
      <c r="Q30" s="256"/>
      <c r="R30" s="200"/>
      <c r="S30" s="207"/>
      <c r="T30" s="208"/>
      <c r="U30" s="209"/>
      <c r="V30" s="271"/>
      <c r="W30" s="210"/>
      <c r="X30" s="228"/>
      <c r="Z30" s="228"/>
      <c r="AB30" s="64" t="s">
        <v>6</v>
      </c>
      <c r="AC30" s="228"/>
      <c r="AD30" s="228"/>
      <c r="AF30" s="228"/>
      <c r="AG30" s="228"/>
      <c r="AI30" s="228"/>
      <c r="AJ30" s="228"/>
      <c r="AL30" s="228"/>
      <c r="AM30" s="228"/>
    </row>
    <row r="31" spans="1:39" x14ac:dyDescent="0.25">
      <c r="A31" s="64" t="s">
        <v>118</v>
      </c>
      <c r="B31" s="214" t="s">
        <v>36</v>
      </c>
      <c r="C31" s="215">
        <v>3141</v>
      </c>
      <c r="D31" s="216">
        <v>2251</v>
      </c>
      <c r="E31" s="268">
        <v>-966</v>
      </c>
      <c r="F31" s="218">
        <v>2000</v>
      </c>
      <c r="G31" s="219">
        <v>8028.940734979743</v>
      </c>
      <c r="H31" s="220">
        <v>12299.640982856066</v>
      </c>
      <c r="I31" s="216">
        <v>5941.4161438850097</v>
      </c>
      <c r="J31" s="217">
        <v>7502.7809995422003</v>
      </c>
      <c r="K31" s="234"/>
      <c r="L31" s="221">
        <v>13443.997143427208</v>
      </c>
      <c r="M31" s="143"/>
      <c r="N31" s="172"/>
      <c r="O31" s="222">
        <v>14240.072</v>
      </c>
      <c r="P31" s="223">
        <v>-796.07485657279176</v>
      </c>
      <c r="Q31" s="224">
        <v>7524</v>
      </c>
      <c r="R31" s="237">
        <v>13034</v>
      </c>
      <c r="S31" s="145">
        <v>-796.07485657279176</v>
      </c>
      <c r="T31" s="225">
        <v>1884</v>
      </c>
      <c r="U31" s="226">
        <v>11873.072</v>
      </c>
      <c r="V31" s="257">
        <v>1570.9251434272082</v>
      </c>
      <c r="W31" s="227">
        <v>0.13230991468991413</v>
      </c>
      <c r="X31" s="228">
        <v>6317.9279999999999</v>
      </c>
      <c r="Y31" s="228">
        <v>6884.5845744086</v>
      </c>
      <c r="Z31" s="272">
        <v>566.65657440860014</v>
      </c>
      <c r="AA31" s="260"/>
      <c r="AB31" s="64" t="s">
        <v>36</v>
      </c>
      <c r="AC31" s="228">
        <v>11827.732684261204</v>
      </c>
      <c r="AD31" s="228">
        <v>-471.90829859486257</v>
      </c>
      <c r="AF31" s="228">
        <v>11079.704494295633</v>
      </c>
      <c r="AG31" s="228">
        <v>-1219.9364885604336</v>
      </c>
      <c r="AI31" s="228">
        <v>11512.318691640794</v>
      </c>
      <c r="AJ31" s="228">
        <v>-787.32229121527234</v>
      </c>
      <c r="AL31" s="228">
        <v>11781.631521738424</v>
      </c>
      <c r="AM31" s="228">
        <v>-518.00946111764279</v>
      </c>
    </row>
    <row r="32" spans="1:39" x14ac:dyDescent="0.25">
      <c r="A32" s="64" t="s">
        <v>75</v>
      </c>
      <c r="B32" s="214" t="s">
        <v>7</v>
      </c>
      <c r="C32" s="215">
        <v>3142</v>
      </c>
      <c r="D32" s="273">
        <v>0</v>
      </c>
      <c r="E32" s="274">
        <v>-172</v>
      </c>
      <c r="F32" s="218">
        <v>0</v>
      </c>
      <c r="G32" s="219">
        <v>11249.821722815666</v>
      </c>
      <c r="H32" s="220">
        <v>7391.2865818889477</v>
      </c>
      <c r="I32" s="216">
        <v>8324.8680748835923</v>
      </c>
      <c r="J32" s="217">
        <v>2171.6848149522584</v>
      </c>
      <c r="K32" s="234"/>
      <c r="L32" s="221">
        <v>10496.55288983585</v>
      </c>
      <c r="M32" s="143"/>
      <c r="N32" s="172"/>
      <c r="O32" s="222">
        <v>10252.4272</v>
      </c>
      <c r="P32" s="223">
        <v>244.1256898358497</v>
      </c>
      <c r="Q32" s="224">
        <v>9290</v>
      </c>
      <c r="R32" s="237">
        <v>5963</v>
      </c>
      <c r="S32" s="145">
        <v>244.1256898358497</v>
      </c>
      <c r="T32" s="225">
        <v>180</v>
      </c>
      <c r="U32" s="226">
        <v>10432.4272</v>
      </c>
      <c r="V32" s="257">
        <v>64.125689835849698</v>
      </c>
      <c r="W32" s="227">
        <v>6.1467660982910764E-3</v>
      </c>
      <c r="X32" s="228">
        <v>5000.5727999999999</v>
      </c>
      <c r="Y32" s="228">
        <v>8144.5554148687625</v>
      </c>
      <c r="Z32" s="259">
        <v>3143.9826148687625</v>
      </c>
      <c r="AA32" s="260" t="s">
        <v>11</v>
      </c>
      <c r="AB32" s="64" t="s">
        <v>7</v>
      </c>
      <c r="AC32" s="228">
        <v>8961.2083944276965</v>
      </c>
      <c r="AD32" s="228">
        <v>1569.9218125387488</v>
      </c>
      <c r="AF32" s="228">
        <v>8927.0489419326659</v>
      </c>
      <c r="AG32" s="228">
        <v>1535.7623600437182</v>
      </c>
      <c r="AI32" s="228">
        <v>8949.3585951152945</v>
      </c>
      <c r="AJ32" s="228">
        <v>1558.0720132263468</v>
      </c>
      <c r="AL32" s="228">
        <v>8939.8296027734959</v>
      </c>
      <c r="AM32" s="228">
        <v>1548.5430208845482</v>
      </c>
    </row>
    <row r="33" spans="1:39" x14ac:dyDescent="0.25">
      <c r="A33" s="64" t="s">
        <v>119</v>
      </c>
      <c r="B33" s="214" t="s">
        <v>37</v>
      </c>
      <c r="C33" s="215">
        <v>3143</v>
      </c>
      <c r="D33" s="216">
        <v>438</v>
      </c>
      <c r="E33" s="268">
        <v>-70</v>
      </c>
      <c r="F33" s="218">
        <v>8000</v>
      </c>
      <c r="G33" s="219">
        <v>17173.698628708447</v>
      </c>
      <c r="H33" s="220">
        <v>9688.1284091423822</v>
      </c>
      <c r="I33" s="216">
        <v>12708.536985244251</v>
      </c>
      <c r="J33" s="217">
        <v>5909.7583295768527</v>
      </c>
      <c r="K33" s="234"/>
      <c r="L33" s="221">
        <v>18618.295314821102</v>
      </c>
      <c r="M33" s="143"/>
      <c r="N33" s="172"/>
      <c r="O33" s="222">
        <v>18331.376</v>
      </c>
      <c r="P33" s="223">
        <v>286.91931482110158</v>
      </c>
      <c r="Q33" s="224">
        <v>16467</v>
      </c>
      <c r="R33" s="237">
        <v>8720</v>
      </c>
      <c r="S33" s="145">
        <v>286.91931482110158</v>
      </c>
      <c r="T33" s="225">
        <v>3428</v>
      </c>
      <c r="U33" s="226">
        <v>13321.376</v>
      </c>
      <c r="V33" s="226">
        <v>5296.9193148211016</v>
      </c>
      <c r="W33" s="227">
        <v>0.39762553919513283</v>
      </c>
      <c r="X33" s="228">
        <v>6855.6239999999998</v>
      </c>
      <c r="Y33" s="228">
        <v>8243.5317230297296</v>
      </c>
      <c r="Z33" s="229">
        <v>1387.9077230297298</v>
      </c>
      <c r="AB33" s="64" t="s">
        <v>37</v>
      </c>
      <c r="AC33" s="228">
        <v>9855.3836685717451</v>
      </c>
      <c r="AD33" s="228">
        <v>167.25525942936292</v>
      </c>
      <c r="AF33" s="228">
        <v>10021.481694354799</v>
      </c>
      <c r="AG33" s="228">
        <v>333.35328521241718</v>
      </c>
      <c r="AI33" s="228">
        <v>9874.4604780635127</v>
      </c>
      <c r="AJ33" s="228">
        <v>186.33206892113049</v>
      </c>
      <c r="AL33" s="228">
        <v>9781.5799964846992</v>
      </c>
      <c r="AM33" s="228">
        <v>93.451587342316998</v>
      </c>
    </row>
    <row r="34" spans="1:39" x14ac:dyDescent="0.25">
      <c r="A34" s="64" t="s">
        <v>120</v>
      </c>
      <c r="B34" s="214" t="s">
        <v>38</v>
      </c>
      <c r="C34" s="215">
        <v>3144</v>
      </c>
      <c r="D34" s="216">
        <v>106</v>
      </c>
      <c r="E34" s="268">
        <v>-9</v>
      </c>
      <c r="F34" s="218">
        <v>0</v>
      </c>
      <c r="G34" s="219">
        <v>2493.1751515055271</v>
      </c>
      <c r="H34" s="220">
        <v>8811.3491258407412</v>
      </c>
      <c r="I34" s="216">
        <v>1844.9496121140901</v>
      </c>
      <c r="J34" s="217">
        <v>5374.9229667628524</v>
      </c>
      <c r="K34" s="234"/>
      <c r="L34" s="221">
        <v>7219.8725788769425</v>
      </c>
      <c r="M34" s="143"/>
      <c r="N34" s="172"/>
      <c r="O34" s="222">
        <v>4424.9247999999998</v>
      </c>
      <c r="P34" s="223">
        <v>2794.9477788769427</v>
      </c>
      <c r="Q34" s="224">
        <v>2187</v>
      </c>
      <c r="R34" s="237">
        <v>7588</v>
      </c>
      <c r="S34" s="145">
        <v>2794.9477788769427</v>
      </c>
      <c r="T34" s="225">
        <v>335</v>
      </c>
      <c r="U34" s="226">
        <v>4653.9247999999998</v>
      </c>
      <c r="V34" s="226">
        <v>2565.9477788769427</v>
      </c>
      <c r="W34" s="227">
        <v>0.5513513623763201</v>
      </c>
      <c r="X34" s="228">
        <v>5350.0752000000002</v>
      </c>
      <c r="Y34" s="228">
        <v>4084.6516984693262</v>
      </c>
      <c r="Z34" s="275">
        <v>-1265.423501530674</v>
      </c>
      <c r="AA34" s="276"/>
      <c r="AB34" s="64" t="s">
        <v>38</v>
      </c>
      <c r="AC34" s="228">
        <v>9084.608080972077</v>
      </c>
      <c r="AD34" s="228">
        <v>273.25895513133582</v>
      </c>
      <c r="AF34" s="228">
        <v>9419.2395983769911</v>
      </c>
      <c r="AG34" s="228">
        <v>607.89047253624994</v>
      </c>
      <c r="AI34" s="228">
        <v>9380.1292168693835</v>
      </c>
      <c r="AJ34" s="228">
        <v>568.78009102864235</v>
      </c>
      <c r="AL34" s="228">
        <v>9327.527731367165</v>
      </c>
      <c r="AM34" s="228">
        <v>516.17860552642378</v>
      </c>
    </row>
    <row r="35" spans="1:39" ht="15.75" thickBot="1" x14ac:dyDescent="0.3">
      <c r="A35" s="64" t="s">
        <v>121</v>
      </c>
      <c r="B35" s="240" t="s">
        <v>39</v>
      </c>
      <c r="C35" s="241">
        <v>3145</v>
      </c>
      <c r="D35" s="242">
        <v>0</v>
      </c>
      <c r="E35" s="247">
        <v>2454</v>
      </c>
      <c r="F35" s="244">
        <v>10044</v>
      </c>
      <c r="G35" s="245">
        <v>8314.3265898507689</v>
      </c>
      <c r="H35" s="246">
        <v>11507.206812032393</v>
      </c>
      <c r="I35" s="242">
        <v>6152.6016764895685</v>
      </c>
      <c r="J35" s="247">
        <v>7019.3961553397594</v>
      </c>
      <c r="K35" s="161"/>
      <c r="L35" s="248">
        <v>13172.19783182933</v>
      </c>
      <c r="M35" s="249">
        <v>300</v>
      </c>
      <c r="N35" s="188"/>
      <c r="O35" s="250">
        <v>13020.123200000002</v>
      </c>
      <c r="P35" s="156">
        <v>152.0746318293277</v>
      </c>
      <c r="Q35" s="251">
        <v>6797</v>
      </c>
      <c r="R35" s="264">
        <v>10686</v>
      </c>
      <c r="S35" s="252">
        <v>152.0746318293277</v>
      </c>
      <c r="T35" s="253">
        <v>6545</v>
      </c>
      <c r="U35" s="249">
        <v>9521.1232000000018</v>
      </c>
      <c r="V35" s="249">
        <v>3651.0746318293277</v>
      </c>
      <c r="W35" s="265">
        <v>0.38347099970614046</v>
      </c>
      <c r="X35" s="228">
        <v>4462.8768</v>
      </c>
      <c r="Y35" s="228">
        <v>6649.3355700538341</v>
      </c>
      <c r="Z35" s="229">
        <v>2186.4587700538341</v>
      </c>
      <c r="AB35" s="64" t="s">
        <v>39</v>
      </c>
      <c r="AC35" s="228">
        <v>11742.627069228945</v>
      </c>
      <c r="AD35" s="228">
        <v>235.42025719655248</v>
      </c>
      <c r="AF35" s="228">
        <v>11673.22948452088</v>
      </c>
      <c r="AG35" s="228">
        <v>166.02267248848693</v>
      </c>
      <c r="AI35" s="228">
        <v>11797.868912285458</v>
      </c>
      <c r="AJ35" s="228">
        <v>290.66210025306464</v>
      </c>
      <c r="AL35" s="228">
        <v>11850.867950855867</v>
      </c>
      <c r="AM35" s="228">
        <v>343.66113882347418</v>
      </c>
    </row>
    <row r="36" spans="1:39" ht="15.75" thickBot="1" x14ac:dyDescent="0.3">
      <c r="B36" s="197" t="s">
        <v>53</v>
      </c>
      <c r="C36" s="198">
        <v>3150</v>
      </c>
      <c r="D36" s="199"/>
      <c r="E36" s="200"/>
      <c r="F36" s="201"/>
      <c r="G36" s="199"/>
      <c r="H36" s="202"/>
      <c r="I36" s="199"/>
      <c r="J36" s="200"/>
      <c r="K36" s="201"/>
      <c r="L36" s="203"/>
      <c r="M36" s="201"/>
      <c r="N36" s="204">
        <v>36596.571512158574</v>
      </c>
      <c r="O36" s="205"/>
      <c r="P36" s="205"/>
      <c r="Q36" s="256"/>
      <c r="R36" s="200"/>
      <c r="S36" s="207"/>
      <c r="T36" s="208">
        <v>47</v>
      </c>
      <c r="U36" s="209">
        <v>47</v>
      </c>
      <c r="V36" s="205"/>
      <c r="W36" s="210"/>
      <c r="X36" s="228"/>
      <c r="Z36" s="228"/>
      <c r="AB36" s="64" t="s">
        <v>53</v>
      </c>
      <c r="AC36" s="228"/>
      <c r="AD36" s="228"/>
      <c r="AF36" s="228"/>
      <c r="AG36" s="228"/>
      <c r="AI36" s="228"/>
      <c r="AJ36" s="228"/>
      <c r="AL36" s="228"/>
      <c r="AM36" s="228"/>
    </row>
    <row r="37" spans="1:39" x14ac:dyDescent="0.25">
      <c r="A37" s="64" t="s">
        <v>122</v>
      </c>
      <c r="B37" s="214" t="s">
        <v>40</v>
      </c>
      <c r="C37" s="215">
        <v>3151</v>
      </c>
      <c r="D37" s="216">
        <v>2848</v>
      </c>
      <c r="E37" s="268">
        <v>-164</v>
      </c>
      <c r="F37" s="218"/>
      <c r="G37" s="219">
        <v>1048.9376893811279</v>
      </c>
      <c r="H37" s="220">
        <v>24768.741251385305</v>
      </c>
      <c r="I37" s="216">
        <v>776.21389014203464</v>
      </c>
      <c r="J37" s="217">
        <v>15108.932163345036</v>
      </c>
      <c r="K37" s="234"/>
      <c r="L37" s="221">
        <v>15885.146053487071</v>
      </c>
      <c r="M37" s="143">
        <v>0</v>
      </c>
      <c r="N37" s="172"/>
      <c r="O37" s="222">
        <v>18052.7304</v>
      </c>
      <c r="P37" s="223">
        <v>-2167.5843465129292</v>
      </c>
      <c r="Q37" s="224">
        <v>539</v>
      </c>
      <c r="R37" s="237">
        <v>25969</v>
      </c>
      <c r="S37" s="145">
        <v>-2167.5843465129292</v>
      </c>
      <c r="T37" s="225">
        <v>4864</v>
      </c>
      <c r="U37" s="226">
        <v>20068.7304</v>
      </c>
      <c r="V37" s="277">
        <v>-4183.5843465129292</v>
      </c>
      <c r="W37" s="278">
        <v>-0.20846283063889925</v>
      </c>
      <c r="X37" s="228">
        <v>8455.2695999999996</v>
      </c>
      <c r="Y37" s="228">
        <v>9932.5328872793616</v>
      </c>
      <c r="Z37" s="229">
        <v>1477.263287279362</v>
      </c>
      <c r="AB37" s="64" t="s">
        <v>40</v>
      </c>
      <c r="AC37" s="228">
        <v>22849.22861316914</v>
      </c>
      <c r="AD37" s="228">
        <v>-1919.5126382161652</v>
      </c>
      <c r="AF37" s="228">
        <v>22408.208183362582</v>
      </c>
      <c r="AG37" s="228">
        <v>-2360.5330680227235</v>
      </c>
      <c r="AI37" s="228">
        <v>22606.403937748753</v>
      </c>
      <c r="AJ37" s="228">
        <v>-2162.3373136365517</v>
      </c>
      <c r="AL37" s="228">
        <v>22777.252215681601</v>
      </c>
      <c r="AM37" s="228">
        <v>-1991.4890357037038</v>
      </c>
    </row>
    <row r="38" spans="1:39" x14ac:dyDescent="0.25">
      <c r="A38" s="64" t="s">
        <v>123</v>
      </c>
      <c r="B38" s="214" t="s">
        <v>41</v>
      </c>
      <c r="C38" s="215">
        <v>3152</v>
      </c>
      <c r="D38" s="216">
        <v>3084</v>
      </c>
      <c r="E38" s="268">
        <v>-1196</v>
      </c>
      <c r="F38" s="218">
        <v>1600</v>
      </c>
      <c r="G38" s="219">
        <v>2524.9901831752372</v>
      </c>
      <c r="H38" s="220">
        <v>9354.6290579065262</v>
      </c>
      <c r="I38" s="216">
        <v>1868.4927355496754</v>
      </c>
      <c r="J38" s="217">
        <v>5706.3237253229809</v>
      </c>
      <c r="K38" s="234"/>
      <c r="L38" s="221">
        <v>7574.8164608726565</v>
      </c>
      <c r="M38" s="143">
        <v>0</v>
      </c>
      <c r="N38" s="172"/>
      <c r="O38" s="222">
        <v>10729.1512</v>
      </c>
      <c r="P38" s="223">
        <v>-3154.3347391273437</v>
      </c>
      <c r="Q38" s="224">
        <v>1976</v>
      </c>
      <c r="R38" s="237">
        <v>11939</v>
      </c>
      <c r="S38" s="145">
        <v>-3154.3347391273437</v>
      </c>
      <c r="T38" s="225">
        <v>3602</v>
      </c>
      <c r="U38" s="226">
        <v>9647.1512000000002</v>
      </c>
      <c r="V38" s="277">
        <v>-2072.3347391273437</v>
      </c>
      <c r="W38" s="278">
        <v>-0.21481312940625868</v>
      </c>
      <c r="X38" s="228">
        <v>3185.8487999999998</v>
      </c>
      <c r="Y38" s="228">
        <v>4304.8027802091074</v>
      </c>
      <c r="Z38" s="229">
        <v>1118.9539802091076</v>
      </c>
      <c r="AB38" s="64" t="s">
        <v>41</v>
      </c>
      <c r="AC38" s="228">
        <v>9706.8200914975241</v>
      </c>
      <c r="AD38" s="228">
        <v>352.1910335909979</v>
      </c>
      <c r="AF38" s="228">
        <v>9912.8596525235498</v>
      </c>
      <c r="AG38" s="228">
        <v>558.2305946170236</v>
      </c>
      <c r="AI38" s="228">
        <v>9804.5059303682647</v>
      </c>
      <c r="AJ38" s="228">
        <v>449.87687246173846</v>
      </c>
      <c r="AL38" s="228">
        <v>9758.3083373470163</v>
      </c>
      <c r="AM38" s="228">
        <v>403.67927944049006</v>
      </c>
    </row>
    <row r="39" spans="1:39" x14ac:dyDescent="0.25">
      <c r="A39" s="64" t="s">
        <v>124</v>
      </c>
      <c r="B39" s="214" t="s">
        <v>8</v>
      </c>
      <c r="C39" s="215">
        <v>3153</v>
      </c>
      <c r="D39" s="216">
        <v>6535</v>
      </c>
      <c r="E39" s="268">
        <v>-5</v>
      </c>
      <c r="F39" s="218"/>
      <c r="G39" s="219">
        <v>2316.2931080902208</v>
      </c>
      <c r="H39" s="220">
        <v>7995.2951603386855</v>
      </c>
      <c r="I39" s="216">
        <v>1714.0568999867635</v>
      </c>
      <c r="J39" s="217">
        <v>4877.1300478065978</v>
      </c>
      <c r="K39" s="234"/>
      <c r="L39" s="221">
        <v>6591.1869477933615</v>
      </c>
      <c r="M39" s="143">
        <v>0</v>
      </c>
      <c r="N39" s="172"/>
      <c r="O39" s="222">
        <v>7264.612000000001</v>
      </c>
      <c r="P39" s="223">
        <v>-673.42505220663952</v>
      </c>
      <c r="Q39" s="224">
        <v>1743</v>
      </c>
      <c r="R39" s="237">
        <v>8815</v>
      </c>
      <c r="S39" s="145">
        <v>-673.42505220663952</v>
      </c>
      <c r="T39" s="225">
        <v>2788</v>
      </c>
      <c r="U39" s="226">
        <v>3517.612000000001</v>
      </c>
      <c r="V39" s="226">
        <v>3073.5749477933605</v>
      </c>
      <c r="W39" s="227">
        <v>0.87376747287459777</v>
      </c>
      <c r="X39" s="228">
        <v>3293.3879999999999</v>
      </c>
      <c r="Y39" s="228">
        <v>3720.4013206355448</v>
      </c>
      <c r="Z39" s="228">
        <v>427.01332063554491</v>
      </c>
      <c r="AB39" s="64" t="s">
        <v>8</v>
      </c>
      <c r="AC39" s="228">
        <v>6819.1506678027399</v>
      </c>
      <c r="AD39" s="228">
        <v>-1176.1444925359456</v>
      </c>
      <c r="AF39" s="228">
        <v>6934.4513970166663</v>
      </c>
      <c r="AG39" s="228">
        <v>-1060.8437633220192</v>
      </c>
      <c r="AI39" s="228">
        <v>6951.2303212952638</v>
      </c>
      <c r="AJ39" s="228">
        <v>-1044.0648390434217</v>
      </c>
      <c r="AL39" s="228">
        <v>6936.6165299545191</v>
      </c>
      <c r="AM39" s="228">
        <v>-1058.6786303841664</v>
      </c>
    </row>
    <row r="40" spans="1:39" ht="15.75" thickBot="1" x14ac:dyDescent="0.3">
      <c r="A40" s="64" t="s">
        <v>76</v>
      </c>
      <c r="B40" s="240" t="s">
        <v>42</v>
      </c>
      <c r="C40" s="241">
        <v>3154</v>
      </c>
      <c r="D40" s="242">
        <v>1887</v>
      </c>
      <c r="E40" s="247"/>
      <c r="F40" s="244"/>
      <c r="G40" s="245">
        <v>539.98721089342405</v>
      </c>
      <c r="H40" s="246">
        <v>10074.477891712053</v>
      </c>
      <c r="I40" s="242">
        <v>399.59053606113378</v>
      </c>
      <c r="J40" s="247">
        <v>6145.4315139443524</v>
      </c>
      <c r="K40" s="161"/>
      <c r="L40" s="248">
        <v>6545.4220500054862</v>
      </c>
      <c r="M40" s="249"/>
      <c r="N40" s="188"/>
      <c r="O40" s="250">
        <v>7798.3816000000006</v>
      </c>
      <c r="P40" s="156">
        <v>-1252.9595499945144</v>
      </c>
      <c r="Q40" s="251">
        <v>462</v>
      </c>
      <c r="R40" s="264">
        <v>10576</v>
      </c>
      <c r="S40" s="252">
        <v>-1252.9595499945144</v>
      </c>
      <c r="T40" s="253">
        <v>1471</v>
      </c>
      <c r="U40" s="249">
        <v>7382.3816000000006</v>
      </c>
      <c r="V40" s="126">
        <v>-836.95954999451442</v>
      </c>
      <c r="W40" s="279">
        <v>-0.11337256665173125</v>
      </c>
      <c r="X40" s="228">
        <v>3239.6183999999998</v>
      </c>
      <c r="Y40" s="228">
        <v>4069.04305259999</v>
      </c>
      <c r="Z40" s="228">
        <v>829.42465259999017</v>
      </c>
      <c r="AB40" s="64" t="s">
        <v>42</v>
      </c>
      <c r="AC40" s="228">
        <v>10360.826690270565</v>
      </c>
      <c r="AD40" s="228">
        <v>286.3487985585125</v>
      </c>
      <c r="AF40" s="228">
        <v>10141.318304451766</v>
      </c>
      <c r="AG40" s="228">
        <v>66.840412739713429</v>
      </c>
      <c r="AI40" s="228">
        <v>10238.390536522431</v>
      </c>
      <c r="AJ40" s="228">
        <v>163.91264481037797</v>
      </c>
      <c r="AL40" s="228">
        <v>10358.156117457524</v>
      </c>
      <c r="AM40" s="228">
        <v>283.67822574547063</v>
      </c>
    </row>
    <row r="41" spans="1:39" ht="15.75" thickBot="1" x14ac:dyDescent="0.3">
      <c r="B41" s="197" t="s">
        <v>11</v>
      </c>
      <c r="C41" s="198"/>
      <c r="D41" s="199"/>
      <c r="E41" s="200"/>
      <c r="F41" s="201"/>
      <c r="G41" s="199"/>
      <c r="H41" s="202"/>
      <c r="I41" s="199"/>
      <c r="J41" s="200"/>
      <c r="K41" s="201"/>
      <c r="L41" s="203"/>
      <c r="M41" s="201"/>
      <c r="N41" s="204">
        <v>23697.734204636508</v>
      </c>
      <c r="O41" s="205"/>
      <c r="P41" s="266"/>
      <c r="Q41" s="256"/>
      <c r="R41" s="200"/>
      <c r="S41" s="207"/>
      <c r="T41" s="208"/>
      <c r="U41" s="209"/>
      <c r="V41" s="205"/>
      <c r="W41" s="210"/>
      <c r="X41" s="228"/>
      <c r="Z41" s="228"/>
      <c r="AB41" s="64" t="s">
        <v>11</v>
      </c>
      <c r="AC41" s="228"/>
      <c r="AD41" s="228"/>
      <c r="AF41" s="228"/>
      <c r="AG41" s="228"/>
      <c r="AI41" s="228"/>
      <c r="AJ41" s="228"/>
      <c r="AL41" s="228"/>
      <c r="AM41" s="228"/>
    </row>
    <row r="42" spans="1:39" x14ac:dyDescent="0.25">
      <c r="B42" s="214" t="s">
        <v>10</v>
      </c>
      <c r="C42" s="215">
        <v>3137</v>
      </c>
      <c r="D42" s="280">
        <v>0</v>
      </c>
      <c r="E42" s="261">
        <v>0</v>
      </c>
      <c r="F42" s="218">
        <v>0</v>
      </c>
      <c r="G42" s="219">
        <v>0</v>
      </c>
      <c r="H42" s="220">
        <v>0</v>
      </c>
      <c r="I42" s="216">
        <v>0</v>
      </c>
      <c r="J42" s="233">
        <v>0</v>
      </c>
      <c r="K42" s="281"/>
      <c r="L42" s="282">
        <v>0</v>
      </c>
      <c r="M42" s="143">
        <v>0</v>
      </c>
      <c r="N42" s="172"/>
      <c r="O42" s="223">
        <v>392</v>
      </c>
      <c r="P42" s="223"/>
      <c r="Q42" s="224">
        <v>1071</v>
      </c>
      <c r="R42" s="237">
        <v>0</v>
      </c>
      <c r="S42" s="283">
        <v>-392</v>
      </c>
      <c r="T42" s="284">
        <v>-604</v>
      </c>
      <c r="U42" s="285">
        <v>-212</v>
      </c>
      <c r="V42" s="286"/>
      <c r="W42" s="227"/>
      <c r="X42" s="259">
        <v>0</v>
      </c>
      <c r="Y42" s="259">
        <v>0</v>
      </c>
      <c r="Z42" s="259">
        <v>0</v>
      </c>
      <c r="AB42" s="64" t="s">
        <v>10</v>
      </c>
      <c r="AC42" s="228"/>
      <c r="AD42" s="228"/>
      <c r="AF42" s="228"/>
      <c r="AG42" s="228"/>
      <c r="AI42" s="228"/>
      <c r="AJ42" s="228"/>
      <c r="AL42" s="228"/>
      <c r="AM42" s="228"/>
    </row>
    <row r="43" spans="1:39" x14ac:dyDescent="0.25">
      <c r="B43" s="214" t="s">
        <v>82</v>
      </c>
      <c r="C43" s="215">
        <v>3701</v>
      </c>
      <c r="D43" s="216">
        <v>0</v>
      </c>
      <c r="E43" s="268">
        <v>-690</v>
      </c>
      <c r="F43" s="218">
        <v>2068</v>
      </c>
      <c r="G43" s="219">
        <v>3517.233736744608</v>
      </c>
      <c r="H43" s="220">
        <v>1967.2131147540983</v>
      </c>
      <c r="I43" s="216">
        <v>2713.7529651910099</v>
      </c>
      <c r="J43" s="217">
        <v>1010.956941007764</v>
      </c>
      <c r="K43" s="234"/>
      <c r="L43" s="221">
        <v>3724.7099061987738</v>
      </c>
      <c r="M43" s="143">
        <v>0</v>
      </c>
      <c r="N43" s="172"/>
      <c r="O43" s="222">
        <v>1050.2759999999998</v>
      </c>
      <c r="P43" s="223">
        <v>2674.4339061987739</v>
      </c>
      <c r="Q43" s="224">
        <v>2865</v>
      </c>
      <c r="R43" s="237">
        <v>0</v>
      </c>
      <c r="S43" s="283">
        <v>2674.4339061987739</v>
      </c>
      <c r="T43" s="284">
        <v>1029</v>
      </c>
      <c r="U43" s="285">
        <v>11.27599999999984</v>
      </c>
      <c r="V43" s="257">
        <v>3713.4339061987739</v>
      </c>
      <c r="W43" s="227"/>
      <c r="X43" s="259">
        <v>1814.7239999999999</v>
      </c>
      <c r="Y43" s="259">
        <v>1759.7369452999328</v>
      </c>
      <c r="Z43" s="259">
        <v>-54.987054700067119</v>
      </c>
      <c r="AB43" s="64" t="s">
        <v>82</v>
      </c>
      <c r="AC43" s="228">
        <v>0</v>
      </c>
      <c r="AD43" s="228">
        <v>-1967.2131147540983</v>
      </c>
      <c r="AF43" s="228">
        <v>0</v>
      </c>
      <c r="AG43" s="228">
        <v>-1967.2131147540983</v>
      </c>
      <c r="AI43" s="228">
        <v>0</v>
      </c>
      <c r="AJ43" s="228">
        <v>-1967.2131147540983</v>
      </c>
      <c r="AL43" s="228">
        <v>0</v>
      </c>
      <c r="AM43" s="228">
        <v>-1967.2131147540983</v>
      </c>
    </row>
    <row r="44" spans="1:39" x14ac:dyDescent="0.25">
      <c r="B44" s="214" t="s">
        <v>12</v>
      </c>
      <c r="C44" s="215">
        <v>3702</v>
      </c>
      <c r="D44" s="216">
        <v>0</v>
      </c>
      <c r="E44" s="217">
        <v>21</v>
      </c>
      <c r="F44" s="218">
        <v>3318</v>
      </c>
      <c r="G44" s="219">
        <v>6874.6532274392484</v>
      </c>
      <c r="H44" s="220">
        <v>1918.032786885246</v>
      </c>
      <c r="I44" s="216">
        <v>5087.2433883050435</v>
      </c>
      <c r="J44" s="217">
        <v>1017.4599621358165</v>
      </c>
      <c r="K44" s="234"/>
      <c r="L44" s="221">
        <v>6104.3033504408604</v>
      </c>
      <c r="M44" s="143">
        <v>0</v>
      </c>
      <c r="N44" s="172"/>
      <c r="O44" s="222">
        <v>2958.3312000000001</v>
      </c>
      <c r="P44" s="223">
        <v>3145.9721504408603</v>
      </c>
      <c r="Q44" s="224">
        <v>5136</v>
      </c>
      <c r="R44" s="237">
        <v>0</v>
      </c>
      <c r="S44" s="283">
        <v>3145.9721504408603</v>
      </c>
      <c r="T44" s="284">
        <v>0</v>
      </c>
      <c r="U44" s="285">
        <v>-359.66879999999992</v>
      </c>
      <c r="V44" s="257">
        <v>6463.9721504408608</v>
      </c>
      <c r="W44" s="227"/>
      <c r="X44" s="259">
        <v>2177.6687999999999</v>
      </c>
      <c r="Y44" s="259">
        <v>2688.3826638836335</v>
      </c>
      <c r="Z44" s="259">
        <v>510.71386388363362</v>
      </c>
      <c r="AB44" s="64" t="s">
        <v>12</v>
      </c>
      <c r="AC44" s="228">
        <v>0</v>
      </c>
      <c r="AD44" s="228">
        <v>-1918.032786885246</v>
      </c>
      <c r="AF44" s="228">
        <v>0</v>
      </c>
      <c r="AG44" s="228">
        <v>-1918.032786885246</v>
      </c>
      <c r="AI44" s="228">
        <v>0</v>
      </c>
      <c r="AJ44" s="228">
        <v>-1918.032786885246</v>
      </c>
      <c r="AL44" s="228">
        <v>0</v>
      </c>
      <c r="AM44" s="228">
        <v>-1918.032786885246</v>
      </c>
    </row>
    <row r="45" spans="1:39" x14ac:dyDescent="0.25">
      <c r="B45" s="214" t="s">
        <v>25</v>
      </c>
      <c r="C45" s="215">
        <v>3703</v>
      </c>
      <c r="D45" s="280">
        <v>0</v>
      </c>
      <c r="E45" s="268">
        <v>-308</v>
      </c>
      <c r="F45" s="218">
        <v>0</v>
      </c>
      <c r="G45" s="219">
        <v>9432.1119952399185</v>
      </c>
      <c r="H45" s="220">
        <v>0</v>
      </c>
      <c r="I45" s="216">
        <v>6979.76287647754</v>
      </c>
      <c r="J45" s="261">
        <v>-0.28687939494056991</v>
      </c>
      <c r="K45" s="234"/>
      <c r="L45" s="282">
        <v>6979.8759970825995</v>
      </c>
      <c r="M45" s="143">
        <v>0</v>
      </c>
      <c r="N45" s="172"/>
      <c r="O45" s="222">
        <v>2589.7039999999997</v>
      </c>
      <c r="P45" s="223">
        <v>4390.1719970825998</v>
      </c>
      <c r="Q45" s="224">
        <v>6488</v>
      </c>
      <c r="R45" s="237">
        <v>0</v>
      </c>
      <c r="S45" s="283">
        <v>4390.1719970825998</v>
      </c>
      <c r="T45" s="284">
        <v>57</v>
      </c>
      <c r="U45" s="285">
        <v>2646.7039999999997</v>
      </c>
      <c r="V45" s="257">
        <v>4333.1719970825998</v>
      </c>
      <c r="W45" s="227"/>
      <c r="X45" s="259">
        <v>3898.2960000000003</v>
      </c>
      <c r="Y45" s="259">
        <v>2452.235998157319</v>
      </c>
      <c r="Z45" s="259">
        <v>-1446.0600018426812</v>
      </c>
      <c r="AB45" s="64" t="s">
        <v>25</v>
      </c>
      <c r="AC45" s="228">
        <v>0</v>
      </c>
      <c r="AD45" s="228">
        <v>0</v>
      </c>
      <c r="AF45" s="228">
        <v>0</v>
      </c>
      <c r="AG45" s="228">
        <v>0</v>
      </c>
      <c r="AI45" s="228">
        <v>0</v>
      </c>
      <c r="AJ45" s="228">
        <v>0</v>
      </c>
      <c r="AL45" s="228">
        <v>0</v>
      </c>
      <c r="AM45" s="228">
        <v>0</v>
      </c>
    </row>
    <row r="46" spans="1:39" x14ac:dyDescent="0.25">
      <c r="B46" s="214" t="s">
        <v>13</v>
      </c>
      <c r="C46" s="215">
        <v>3704</v>
      </c>
      <c r="D46" s="280">
        <v>0</v>
      </c>
      <c r="E46" s="268">
        <v>0</v>
      </c>
      <c r="F46" s="234">
        <v>1481</v>
      </c>
      <c r="G46" s="219">
        <v>3046.5388032051555</v>
      </c>
      <c r="H46" s="220">
        <v>2342.622950819672</v>
      </c>
      <c r="I46" s="216">
        <v>2254.438714371815</v>
      </c>
      <c r="J46" s="217">
        <v>1059.4010784222896</v>
      </c>
      <c r="K46" s="234"/>
      <c r="L46" s="221">
        <v>3313.4397927941045</v>
      </c>
      <c r="M46" s="143">
        <v>0</v>
      </c>
      <c r="N46" s="172"/>
      <c r="O46" s="222">
        <v>62</v>
      </c>
      <c r="P46" s="223">
        <v>3251.4397927941045</v>
      </c>
      <c r="Q46" s="224">
        <v>2909</v>
      </c>
      <c r="R46" s="237">
        <v>0</v>
      </c>
      <c r="S46" s="283">
        <v>3251.4397927941045</v>
      </c>
      <c r="T46" s="284">
        <v>58</v>
      </c>
      <c r="U46" s="285">
        <v>-1361</v>
      </c>
      <c r="V46" s="257">
        <v>4674.4397927941045</v>
      </c>
      <c r="W46" s="227"/>
      <c r="X46" s="259">
        <v>3105.1943999999999</v>
      </c>
      <c r="Y46" s="259">
        <v>2075.7219612307235</v>
      </c>
      <c r="Z46" s="259">
        <v>-1029.4724387692763</v>
      </c>
      <c r="AA46" s="64" t="s">
        <v>11</v>
      </c>
      <c r="AB46" s="64" t="s">
        <v>13</v>
      </c>
      <c r="AC46" s="228">
        <v>0</v>
      </c>
      <c r="AD46" s="228">
        <v>-2342.622950819672</v>
      </c>
      <c r="AF46" s="228">
        <v>0</v>
      </c>
      <c r="AG46" s="228">
        <v>-2342.622950819672</v>
      </c>
      <c r="AI46" s="228">
        <v>0</v>
      </c>
      <c r="AJ46" s="228">
        <v>-2342.622950819672</v>
      </c>
      <c r="AL46" s="228">
        <v>0</v>
      </c>
      <c r="AM46" s="228">
        <v>-2342.622950819672</v>
      </c>
    </row>
    <row r="47" spans="1:39" ht="15.75" thickBot="1" x14ac:dyDescent="0.3">
      <c r="B47" s="240" t="s">
        <v>14</v>
      </c>
      <c r="C47" s="241">
        <v>3705</v>
      </c>
      <c r="D47" s="242">
        <v>0</v>
      </c>
      <c r="E47" s="247">
        <v>23</v>
      </c>
      <c r="F47" s="161">
        <v>1445</v>
      </c>
      <c r="G47" s="245">
        <v>4981.4003517447327</v>
      </c>
      <c r="H47" s="246">
        <v>0</v>
      </c>
      <c r="I47" s="242">
        <v>3575.2362602911021</v>
      </c>
      <c r="J47" s="243">
        <v>0.46889782907037159</v>
      </c>
      <c r="K47" s="161"/>
      <c r="L47" s="248">
        <v>3575.4051581201725</v>
      </c>
      <c r="M47" s="249">
        <v>0</v>
      </c>
      <c r="N47" s="188"/>
      <c r="O47" s="250">
        <v>2806</v>
      </c>
      <c r="P47" s="270">
        <v>769.40515812017247</v>
      </c>
      <c r="Q47" s="251">
        <v>4173</v>
      </c>
      <c r="R47" s="264">
        <v>0</v>
      </c>
      <c r="S47" s="287">
        <v>769.40515812017247</v>
      </c>
      <c r="T47" s="288">
        <v>139</v>
      </c>
      <c r="U47" s="289">
        <v>1500</v>
      </c>
      <c r="V47" s="254">
        <v>2075.4051581201725</v>
      </c>
      <c r="W47" s="265"/>
      <c r="X47" s="259">
        <v>1505.5488</v>
      </c>
      <c r="Y47" s="259">
        <v>1405.9951936245602</v>
      </c>
      <c r="Z47" s="259">
        <v>-99.553606375439813</v>
      </c>
      <c r="AA47" s="64" t="s">
        <v>100</v>
      </c>
      <c r="AB47" s="64" t="s">
        <v>14</v>
      </c>
      <c r="AC47" s="228">
        <v>1181.4056978278356</v>
      </c>
      <c r="AD47" s="228">
        <v>1181.4056978278356</v>
      </c>
      <c r="AF47" s="228">
        <v>1322.6192853153218</v>
      </c>
      <c r="AG47" s="228">
        <v>1322.6192853153218</v>
      </c>
      <c r="AI47" s="228">
        <v>1255.6728407475266</v>
      </c>
      <c r="AJ47" s="228">
        <v>1255.6728407475266</v>
      </c>
      <c r="AL47" s="228">
        <v>1214.62908638978</v>
      </c>
      <c r="AM47" s="228">
        <v>1214.62908638978</v>
      </c>
    </row>
    <row r="48" spans="1:39" ht="15.75" thickBot="1" x14ac:dyDescent="0.3">
      <c r="B48" s="197" t="s">
        <v>23</v>
      </c>
      <c r="C48" s="198"/>
      <c r="D48" s="199"/>
      <c r="E48" s="200"/>
      <c r="F48" s="201"/>
      <c r="G48" s="199"/>
      <c r="H48" s="202"/>
      <c r="I48" s="199"/>
      <c r="J48" s="200"/>
      <c r="K48" s="201"/>
      <c r="L48" s="203"/>
      <c r="M48" s="201"/>
      <c r="N48" s="204">
        <v>41747.374746071466</v>
      </c>
      <c r="O48" s="205"/>
      <c r="P48" s="205"/>
      <c r="Q48" s="256"/>
      <c r="R48" s="200"/>
      <c r="S48" s="290"/>
      <c r="T48" s="291"/>
      <c r="U48" s="292"/>
      <c r="V48" s="293"/>
      <c r="W48" s="210"/>
      <c r="X48" s="259">
        <v>12501.432000000001</v>
      </c>
      <c r="Y48" s="259">
        <v>10382.072762196169</v>
      </c>
      <c r="Z48" s="259">
        <v>-2119.3592378038311</v>
      </c>
      <c r="AA48" s="228">
        <v>359.50945963197319</v>
      </c>
      <c r="AB48" s="64" t="s">
        <v>23</v>
      </c>
      <c r="AC48" s="228"/>
      <c r="AD48" s="228"/>
      <c r="AF48" s="228"/>
      <c r="AG48" s="228"/>
      <c r="AI48" s="228"/>
      <c r="AJ48" s="228"/>
      <c r="AL48" s="228"/>
      <c r="AM48" s="228"/>
    </row>
    <row r="49" spans="2:39" x14ac:dyDescent="0.25">
      <c r="B49" s="214" t="s">
        <v>15</v>
      </c>
      <c r="C49" s="215">
        <v>3720</v>
      </c>
      <c r="D49" s="232">
        <v>7218</v>
      </c>
      <c r="E49" s="274">
        <v>-215</v>
      </c>
      <c r="F49" s="218">
        <v>2000</v>
      </c>
      <c r="G49" s="219">
        <v>0</v>
      </c>
      <c r="H49" s="220">
        <v>0</v>
      </c>
      <c r="I49" s="216">
        <v>0</v>
      </c>
      <c r="J49" s="217">
        <v>0</v>
      </c>
      <c r="K49" s="234"/>
      <c r="L49" s="221">
        <v>0</v>
      </c>
      <c r="M49" s="143"/>
      <c r="N49" s="172"/>
      <c r="O49" s="222">
        <v>308.92159999999967</v>
      </c>
      <c r="P49" s="223">
        <v>-308.92159999999967</v>
      </c>
      <c r="Q49" s="224">
        <v>524</v>
      </c>
      <c r="R49" s="237"/>
      <c r="S49" s="283">
        <v>-308.92159999999967</v>
      </c>
      <c r="T49" s="294">
        <v>5927</v>
      </c>
      <c r="U49" s="285">
        <v>-2982.0784000000003</v>
      </c>
      <c r="V49" s="267">
        <v>2982.0784000000003</v>
      </c>
      <c r="W49" s="227"/>
      <c r="X49" s="259">
        <v>215.07840000000002</v>
      </c>
      <c r="Y49" s="259">
        <v>0</v>
      </c>
      <c r="Z49" s="259">
        <v>-215.07840000000002</v>
      </c>
      <c r="AB49" s="64" t="s">
        <v>15</v>
      </c>
      <c r="AC49" s="228"/>
      <c r="AD49" s="228"/>
      <c r="AF49" s="228"/>
      <c r="AG49" s="228"/>
      <c r="AI49" s="228"/>
      <c r="AJ49" s="228"/>
      <c r="AL49" s="228"/>
      <c r="AM49" s="228"/>
    </row>
    <row r="50" spans="2:39" x14ac:dyDescent="0.25">
      <c r="B50" s="214" t="s">
        <v>16</v>
      </c>
      <c r="C50" s="215">
        <v>3721</v>
      </c>
      <c r="D50" s="216">
        <v>902</v>
      </c>
      <c r="E50" s="217">
        <v>500</v>
      </c>
      <c r="F50" s="218">
        <v>1000</v>
      </c>
      <c r="G50" s="219">
        <v>6053.2768411475627</v>
      </c>
      <c r="H50" s="220">
        <v>587</v>
      </c>
      <c r="I50" s="216">
        <v>4479.4248624491966</v>
      </c>
      <c r="J50" s="217">
        <v>358.07</v>
      </c>
      <c r="K50" s="234"/>
      <c r="L50" s="221">
        <v>4837.4948624491963</v>
      </c>
      <c r="M50" s="143"/>
      <c r="N50" s="172"/>
      <c r="O50" s="222">
        <v>3278.6120000000001</v>
      </c>
      <c r="P50" s="223">
        <v>1558.8828624491962</v>
      </c>
      <c r="Q50" s="224">
        <v>5954</v>
      </c>
      <c r="R50" s="237">
        <v>618</v>
      </c>
      <c r="S50" s="283">
        <v>1558.8828624491962</v>
      </c>
      <c r="T50" s="284">
        <v>871</v>
      </c>
      <c r="U50" s="285">
        <v>2247.6120000000001</v>
      </c>
      <c r="V50" s="267">
        <v>2589.8828624491962</v>
      </c>
      <c r="W50" s="227"/>
      <c r="X50" s="259">
        <v>3293.3879999999999</v>
      </c>
      <c r="Y50" s="259">
        <v>1802.7819786983664</v>
      </c>
      <c r="Z50" s="259">
        <v>-1490.6060213016335</v>
      </c>
      <c r="AB50" s="64" t="s">
        <v>16</v>
      </c>
      <c r="AC50" s="228">
        <v>0</v>
      </c>
      <c r="AD50" s="228">
        <v>-587</v>
      </c>
      <c r="AF50" s="228">
        <v>0</v>
      </c>
      <c r="AG50" s="228">
        <v>-587</v>
      </c>
      <c r="AI50" s="228">
        <v>0</v>
      </c>
      <c r="AJ50" s="228">
        <v>-587</v>
      </c>
      <c r="AL50" s="228">
        <v>0</v>
      </c>
      <c r="AM50" s="228">
        <v>-587</v>
      </c>
    </row>
    <row r="51" spans="2:39" x14ac:dyDescent="0.25">
      <c r="B51" s="214" t="s">
        <v>17</v>
      </c>
      <c r="C51" s="215">
        <v>3722</v>
      </c>
      <c r="D51" s="216">
        <v>1261</v>
      </c>
      <c r="E51" s="217">
        <v>850</v>
      </c>
      <c r="F51" s="218">
        <v>3000</v>
      </c>
      <c r="G51" s="219">
        <v>18851.139637843469</v>
      </c>
      <c r="H51" s="220">
        <v>637</v>
      </c>
      <c r="I51" s="216">
        <v>13949.843332004168</v>
      </c>
      <c r="J51" s="217">
        <v>388.57</v>
      </c>
      <c r="K51" s="234"/>
      <c r="L51" s="221">
        <v>14338.613332004168</v>
      </c>
      <c r="M51" s="143"/>
      <c r="N51" s="172"/>
      <c r="O51" s="222">
        <v>16100.801599999999</v>
      </c>
      <c r="P51" s="223">
        <v>-1762.1882679958308</v>
      </c>
      <c r="Q51" s="224">
        <v>15683</v>
      </c>
      <c r="R51" s="237">
        <v>1305</v>
      </c>
      <c r="S51" s="283">
        <v>-1762.1882679958308</v>
      </c>
      <c r="T51" s="284">
        <v>457</v>
      </c>
      <c r="U51" s="285">
        <v>12296.801599999999</v>
      </c>
      <c r="V51" s="267">
        <v>2041.8117320041692</v>
      </c>
      <c r="W51" s="227"/>
      <c r="X51" s="259">
        <v>887.19839999999999</v>
      </c>
      <c r="Y51" s="259">
        <v>5149.5263058393011</v>
      </c>
      <c r="Z51" s="259">
        <v>4262.3279058393009</v>
      </c>
      <c r="AB51" s="64" t="s">
        <v>17</v>
      </c>
      <c r="AC51" s="228">
        <v>0</v>
      </c>
      <c r="AD51" s="228">
        <v>-637</v>
      </c>
      <c r="AF51" s="228">
        <v>0</v>
      </c>
      <c r="AG51" s="228">
        <v>-637</v>
      </c>
      <c r="AI51" s="228">
        <v>0</v>
      </c>
      <c r="AJ51" s="228">
        <v>-637</v>
      </c>
      <c r="AL51" s="228">
        <v>0</v>
      </c>
      <c r="AM51" s="228">
        <v>-637</v>
      </c>
    </row>
    <row r="52" spans="2:39" x14ac:dyDescent="0.25">
      <c r="B52" s="214" t="s">
        <v>18</v>
      </c>
      <c r="C52" s="215">
        <v>3723</v>
      </c>
      <c r="D52" s="216">
        <v>1930</v>
      </c>
      <c r="E52" s="217">
        <v>0</v>
      </c>
      <c r="F52" s="234">
        <v>9372</v>
      </c>
      <c r="G52" s="219">
        <v>8710.4636541183972</v>
      </c>
      <c r="H52" s="220">
        <v>91</v>
      </c>
      <c r="I52" s="216">
        <v>6445.743104047614</v>
      </c>
      <c r="J52" s="217">
        <v>55.51</v>
      </c>
      <c r="K52" s="234"/>
      <c r="L52" s="221">
        <v>6501.5531040476144</v>
      </c>
      <c r="M52" s="143"/>
      <c r="N52" s="172"/>
      <c r="O52" s="222">
        <v>6951.4928</v>
      </c>
      <c r="P52" s="223">
        <v>-449.93969595238559</v>
      </c>
      <c r="Q52" s="224">
        <v>7558</v>
      </c>
      <c r="R52" s="237">
        <v>442</v>
      </c>
      <c r="S52" s="283">
        <v>-449.93969595238559</v>
      </c>
      <c r="T52" s="284">
        <v>3613</v>
      </c>
      <c r="U52" s="285">
        <v>-737.50720000000001</v>
      </c>
      <c r="V52" s="267">
        <v>7239.0603040476144</v>
      </c>
      <c r="W52" s="227"/>
      <c r="X52" s="259">
        <v>1048.5072</v>
      </c>
      <c r="Y52" s="259">
        <v>2299.9105500707828</v>
      </c>
      <c r="Z52" s="259">
        <v>1251.4033500707828</v>
      </c>
      <c r="AB52" s="64" t="s">
        <v>18</v>
      </c>
      <c r="AC52" s="228">
        <v>0</v>
      </c>
      <c r="AD52" s="228">
        <v>-91</v>
      </c>
      <c r="AF52" s="228">
        <v>0</v>
      </c>
      <c r="AG52" s="228">
        <v>-91</v>
      </c>
      <c r="AI52" s="228">
        <v>0</v>
      </c>
      <c r="AJ52" s="228">
        <v>-91</v>
      </c>
      <c r="AL52" s="228">
        <v>0</v>
      </c>
      <c r="AM52" s="228">
        <v>-91</v>
      </c>
    </row>
    <row r="53" spans="2:39" x14ac:dyDescent="0.25">
      <c r="B53" s="214" t="s">
        <v>19</v>
      </c>
      <c r="C53" s="215">
        <v>3724</v>
      </c>
      <c r="D53" s="216">
        <v>2138</v>
      </c>
      <c r="E53" s="217">
        <v>0</v>
      </c>
      <c r="F53" s="218">
        <v>7000</v>
      </c>
      <c r="G53" s="219">
        <v>5991.6132945887766</v>
      </c>
      <c r="H53" s="220">
        <v>630</v>
      </c>
      <c r="I53" s="216">
        <v>4433.793837995695</v>
      </c>
      <c r="J53" s="217">
        <v>384.3</v>
      </c>
      <c r="K53" s="234"/>
      <c r="L53" s="221">
        <v>4818.0938379956951</v>
      </c>
      <c r="M53" s="143"/>
      <c r="N53" s="172"/>
      <c r="O53" s="222">
        <v>5882.3407999999999</v>
      </c>
      <c r="P53" s="223">
        <v>-1064.2469620043048</v>
      </c>
      <c r="Q53" s="224">
        <v>5682</v>
      </c>
      <c r="R53" s="237">
        <v>980</v>
      </c>
      <c r="S53" s="283">
        <v>-1064.2469620043048</v>
      </c>
      <c r="T53" s="284">
        <v>1802</v>
      </c>
      <c r="U53" s="285">
        <v>-1453.6592000000001</v>
      </c>
      <c r="V53" s="267">
        <v>6271.7530379956952</v>
      </c>
      <c r="W53" s="227"/>
      <c r="X53" s="259">
        <v>779.65919999999994</v>
      </c>
      <c r="Y53" s="259">
        <v>1803.5194565930815</v>
      </c>
      <c r="Z53" s="259">
        <v>1023.8602565930815</v>
      </c>
      <c r="AB53" s="64" t="s">
        <v>19</v>
      </c>
      <c r="AC53" s="228">
        <v>0</v>
      </c>
      <c r="AD53" s="228">
        <v>-630</v>
      </c>
      <c r="AF53" s="228">
        <v>0</v>
      </c>
      <c r="AG53" s="228">
        <v>-630</v>
      </c>
      <c r="AI53" s="228">
        <v>0</v>
      </c>
      <c r="AJ53" s="228">
        <v>-630</v>
      </c>
      <c r="AL53" s="228">
        <v>0</v>
      </c>
      <c r="AM53" s="228">
        <v>-630</v>
      </c>
    </row>
    <row r="54" spans="2:39" x14ac:dyDescent="0.25">
      <c r="B54" s="214" t="s">
        <v>20</v>
      </c>
      <c r="C54" s="215">
        <v>3725</v>
      </c>
      <c r="D54" s="216">
        <v>1087</v>
      </c>
      <c r="E54" s="217">
        <v>0</v>
      </c>
      <c r="F54" s="234">
        <v>2000</v>
      </c>
      <c r="G54" s="219">
        <v>4862.1270865309161</v>
      </c>
      <c r="H54" s="220">
        <v>1184</v>
      </c>
      <c r="I54" s="216">
        <v>3597.9740440328778</v>
      </c>
      <c r="J54" s="217">
        <v>722.24</v>
      </c>
      <c r="K54" s="234"/>
      <c r="L54" s="221">
        <v>4320.2140440328776</v>
      </c>
      <c r="M54" s="143"/>
      <c r="N54" s="172"/>
      <c r="O54" s="222">
        <v>4033.1887999999999</v>
      </c>
      <c r="P54" s="223">
        <v>287.02524403287771</v>
      </c>
      <c r="Q54" s="224">
        <v>3662</v>
      </c>
      <c r="R54" s="237">
        <v>882</v>
      </c>
      <c r="S54" s="283">
        <v>287.02524403287771</v>
      </c>
      <c r="T54" s="284">
        <v>52</v>
      </c>
      <c r="U54" s="285">
        <v>998.1887999999999</v>
      </c>
      <c r="V54" s="267">
        <v>3322.0252440328777</v>
      </c>
      <c r="W54" s="227"/>
      <c r="X54" s="259">
        <v>510.81119999999999</v>
      </c>
      <c r="Y54" s="259">
        <v>1725.9130424980385</v>
      </c>
      <c r="Z54" s="259">
        <v>1215.1018424980384</v>
      </c>
      <c r="AA54" s="64" t="s">
        <v>23</v>
      </c>
      <c r="AB54" s="64" t="s">
        <v>20</v>
      </c>
      <c r="AC54" s="228">
        <v>0</v>
      </c>
      <c r="AD54" s="228">
        <v>-1184</v>
      </c>
      <c r="AF54" s="228">
        <v>0</v>
      </c>
      <c r="AG54" s="228">
        <v>-1184</v>
      </c>
      <c r="AI54" s="228">
        <v>0</v>
      </c>
      <c r="AJ54" s="228">
        <v>-1184</v>
      </c>
      <c r="AL54" s="228">
        <v>0</v>
      </c>
      <c r="AM54" s="228">
        <v>-1184</v>
      </c>
    </row>
    <row r="55" spans="2:39" ht="15.75" thickBot="1" x14ac:dyDescent="0.3">
      <c r="B55" s="240" t="s">
        <v>21</v>
      </c>
      <c r="C55" s="241">
        <v>3726</v>
      </c>
      <c r="D55" s="242">
        <v>1433</v>
      </c>
      <c r="E55" s="247">
        <v>359</v>
      </c>
      <c r="F55" s="161">
        <v>7000</v>
      </c>
      <c r="G55" s="245">
        <v>7572.2102237052895</v>
      </c>
      <c r="H55" s="246">
        <v>2177</v>
      </c>
      <c r="I55" s="242">
        <v>5603.435565541914</v>
      </c>
      <c r="J55" s="247">
        <v>1327.97</v>
      </c>
      <c r="K55" s="161"/>
      <c r="L55" s="248">
        <v>6931.4055655419143</v>
      </c>
      <c r="M55" s="249"/>
      <c r="N55" s="188"/>
      <c r="O55" s="250">
        <v>9939</v>
      </c>
      <c r="P55" s="156">
        <v>-3007.5944344580857</v>
      </c>
      <c r="Q55" s="251">
        <v>7139</v>
      </c>
      <c r="R55" s="264">
        <v>2800</v>
      </c>
      <c r="S55" s="287">
        <v>-3007.5944344580857</v>
      </c>
      <c r="T55" s="288">
        <v>1120</v>
      </c>
      <c r="U55" s="289">
        <v>2626</v>
      </c>
      <c r="V55" s="295">
        <v>4305.4055655419143</v>
      </c>
      <c r="W55" s="265"/>
      <c r="X55" s="259">
        <v>0</v>
      </c>
      <c r="Y55" s="259">
        <v>2817.8046581633753</v>
      </c>
      <c r="Z55" s="259">
        <v>2817.8046581633753</v>
      </c>
      <c r="AA55" s="64" t="s">
        <v>101</v>
      </c>
      <c r="AB55" s="64" t="s">
        <v>21</v>
      </c>
      <c r="AC55" s="228">
        <v>0</v>
      </c>
      <c r="AD55" s="228">
        <v>-2177</v>
      </c>
      <c r="AF55" s="228">
        <v>0</v>
      </c>
      <c r="AG55" s="228">
        <v>-2177</v>
      </c>
      <c r="AI55" s="228">
        <v>0</v>
      </c>
      <c r="AJ55" s="228">
        <v>-2177</v>
      </c>
      <c r="AL55" s="228">
        <v>0</v>
      </c>
      <c r="AM55" s="228">
        <v>-2177</v>
      </c>
    </row>
    <row r="56" spans="2:39" hidden="1" x14ac:dyDescent="0.25">
      <c r="B56" s="296"/>
      <c r="C56" s="297"/>
      <c r="D56" s="298"/>
      <c r="E56" s="299"/>
      <c r="F56" s="300"/>
      <c r="G56" s="298"/>
      <c r="H56" s="301"/>
      <c r="I56" s="298"/>
      <c r="J56" s="299"/>
      <c r="K56" s="300"/>
      <c r="L56" s="302"/>
      <c r="M56" s="300"/>
      <c r="N56" s="303"/>
      <c r="O56" s="266"/>
      <c r="P56" s="266"/>
      <c r="Q56" s="304"/>
      <c r="R56" s="299"/>
      <c r="S56" s="305"/>
      <c r="T56" s="306"/>
      <c r="U56" s="307"/>
      <c r="V56" s="308"/>
      <c r="W56" s="210"/>
      <c r="X56" s="260"/>
      <c r="Y56" s="259">
        <v>0</v>
      </c>
      <c r="Z56" s="260"/>
      <c r="AC56" s="64">
        <v>0</v>
      </c>
      <c r="AF56" s="228">
        <v>0</v>
      </c>
      <c r="AI56" s="228">
        <v>0</v>
      </c>
      <c r="AJ56" s="228">
        <v>0</v>
      </c>
      <c r="AM56" s="228">
        <v>0</v>
      </c>
    </row>
    <row r="57" spans="2:39" hidden="1" x14ac:dyDescent="0.25">
      <c r="B57" s="309" t="s">
        <v>60</v>
      </c>
      <c r="C57" s="231"/>
      <c r="D57" s="216"/>
      <c r="E57" s="217"/>
      <c r="F57" s="234"/>
      <c r="G57" s="310">
        <v>-4.3708097655326128E-4</v>
      </c>
      <c r="H57" s="220"/>
      <c r="I57" s="311">
        <v>-3.2343992264941332E-4</v>
      </c>
      <c r="J57" s="217"/>
      <c r="K57" s="234"/>
      <c r="L57" s="221"/>
      <c r="M57" s="143"/>
      <c r="N57" s="303"/>
      <c r="O57" s="222"/>
      <c r="P57" s="222"/>
      <c r="Q57" s="224"/>
      <c r="R57" s="237"/>
      <c r="S57" s="145"/>
      <c r="T57" s="225"/>
      <c r="U57" s="226"/>
      <c r="V57" s="226"/>
      <c r="W57" s="227"/>
      <c r="X57" s="260"/>
      <c r="Y57" s="259">
        <v>-4.3708097655326128E-4</v>
      </c>
      <c r="Z57" s="260"/>
      <c r="AC57" s="64">
        <v>0</v>
      </c>
      <c r="AF57" s="228">
        <v>0</v>
      </c>
      <c r="AI57" s="228">
        <v>0</v>
      </c>
      <c r="AJ57" s="228">
        <v>0</v>
      </c>
      <c r="AM57" s="228">
        <v>0</v>
      </c>
    </row>
    <row r="58" spans="2:39" hidden="1" x14ac:dyDescent="0.25">
      <c r="B58" s="296"/>
      <c r="C58" s="297"/>
      <c r="D58" s="298"/>
      <c r="E58" s="299"/>
      <c r="F58" s="300"/>
      <c r="G58" s="298"/>
      <c r="H58" s="301"/>
      <c r="I58" s="298"/>
      <c r="J58" s="299"/>
      <c r="K58" s="300"/>
      <c r="L58" s="302"/>
      <c r="M58" s="300"/>
      <c r="N58" s="312"/>
      <c r="O58" s="266"/>
      <c r="P58" s="313"/>
      <c r="Q58" s="304"/>
      <c r="R58" s="299"/>
      <c r="S58" s="305"/>
      <c r="T58" s="306"/>
      <c r="U58" s="307"/>
      <c r="V58" s="314"/>
      <c r="W58" s="315"/>
      <c r="X58" s="260"/>
      <c r="Y58" s="259">
        <v>0</v>
      </c>
      <c r="Z58" s="260"/>
      <c r="AC58" s="64">
        <v>0</v>
      </c>
      <c r="AF58" s="228">
        <v>0</v>
      </c>
      <c r="AI58" s="228">
        <v>0</v>
      </c>
      <c r="AJ58" s="228">
        <v>0</v>
      </c>
      <c r="AM58" s="228">
        <v>0</v>
      </c>
    </row>
    <row r="59" spans="2:39" hidden="1" x14ac:dyDescent="0.25">
      <c r="B59" s="316" t="s">
        <v>24</v>
      </c>
      <c r="C59" s="215">
        <v>3740</v>
      </c>
      <c r="D59" s="273">
        <v>1383</v>
      </c>
      <c r="E59" s="274">
        <v>-272</v>
      </c>
      <c r="F59" s="281"/>
      <c r="G59" s="317" t="s">
        <v>51</v>
      </c>
      <c r="H59" s="318" t="s">
        <v>51</v>
      </c>
      <c r="I59" s="319" t="s">
        <v>51</v>
      </c>
      <c r="J59" s="320" t="s">
        <v>51</v>
      </c>
      <c r="K59" s="321"/>
      <c r="L59" s="322" t="s">
        <v>51</v>
      </c>
      <c r="M59" s="323" t="s">
        <v>51</v>
      </c>
      <c r="N59" s="172"/>
      <c r="O59" s="222">
        <v>0</v>
      </c>
      <c r="P59" s="222"/>
      <c r="Q59" s="324" t="s">
        <v>51</v>
      </c>
      <c r="R59" s="320" t="s">
        <v>51</v>
      </c>
      <c r="S59" s="145"/>
      <c r="T59" s="294">
        <v>2796</v>
      </c>
      <c r="U59" s="285">
        <v>1413</v>
      </c>
      <c r="V59" s="226"/>
      <c r="W59" s="148"/>
      <c r="X59" s="260"/>
      <c r="Y59" s="259" t="e">
        <v>#VALUE!</v>
      </c>
      <c r="Z59" s="260"/>
      <c r="AC59" s="64">
        <v>0</v>
      </c>
      <c r="AF59" s="228">
        <v>0</v>
      </c>
      <c r="AI59" s="228">
        <v>0</v>
      </c>
      <c r="AJ59" s="228" t="e">
        <v>#VALUE!</v>
      </c>
      <c r="AM59" s="228" t="e">
        <v>#VALUE!</v>
      </c>
    </row>
    <row r="60" spans="2:39" hidden="1" x14ac:dyDescent="0.25">
      <c r="B60" s="316" t="s">
        <v>26</v>
      </c>
      <c r="C60" s="215">
        <v>3750</v>
      </c>
      <c r="D60" s="280">
        <v>-84</v>
      </c>
      <c r="E60" s="268">
        <v>-350</v>
      </c>
      <c r="F60" s="218"/>
      <c r="G60" s="317" t="s">
        <v>51</v>
      </c>
      <c r="H60" s="318" t="s">
        <v>51</v>
      </c>
      <c r="I60" s="319" t="s">
        <v>51</v>
      </c>
      <c r="J60" s="320" t="s">
        <v>51</v>
      </c>
      <c r="K60" s="321"/>
      <c r="L60" s="322" t="s">
        <v>51</v>
      </c>
      <c r="M60" s="323" t="s">
        <v>51</v>
      </c>
      <c r="N60" s="172"/>
      <c r="O60" s="222">
        <v>0</v>
      </c>
      <c r="P60" s="222"/>
      <c r="Q60" s="324" t="s">
        <v>51</v>
      </c>
      <c r="R60" s="320" t="s">
        <v>51</v>
      </c>
      <c r="S60" s="145"/>
      <c r="T60" s="284">
        <v>-80</v>
      </c>
      <c r="U60" s="285">
        <v>4</v>
      </c>
      <c r="V60" s="226"/>
      <c r="W60" s="148"/>
      <c r="X60" s="260"/>
      <c r="Y60" s="259" t="e">
        <v>#VALUE!</v>
      </c>
      <c r="Z60" s="260"/>
      <c r="AC60" s="64">
        <v>0</v>
      </c>
      <c r="AF60" s="228">
        <v>0</v>
      </c>
      <c r="AI60" s="228">
        <v>0</v>
      </c>
      <c r="AJ60" s="228" t="e">
        <v>#VALUE!</v>
      </c>
      <c r="AM60" s="228" t="e">
        <v>#VALUE!</v>
      </c>
    </row>
    <row r="61" spans="2:39" hidden="1" x14ac:dyDescent="0.25">
      <c r="B61" s="316" t="s">
        <v>43</v>
      </c>
      <c r="C61" s="215">
        <v>3210</v>
      </c>
      <c r="D61" s="280">
        <v>-2646</v>
      </c>
      <c r="E61" s="268"/>
      <c r="F61" s="218">
        <v>0</v>
      </c>
      <c r="G61" s="317" t="s">
        <v>51</v>
      </c>
      <c r="H61" s="318" t="s">
        <v>51</v>
      </c>
      <c r="I61" s="319" t="s">
        <v>51</v>
      </c>
      <c r="J61" s="320" t="s">
        <v>51</v>
      </c>
      <c r="K61" s="321"/>
      <c r="L61" s="322" t="s">
        <v>51</v>
      </c>
      <c r="M61" s="323" t="s">
        <v>51</v>
      </c>
      <c r="N61" s="172"/>
      <c r="O61" s="222">
        <v>1451.9072000000001</v>
      </c>
      <c r="P61" s="222"/>
      <c r="Q61" s="324" t="s">
        <v>51</v>
      </c>
      <c r="R61" s="320" t="s">
        <v>51</v>
      </c>
      <c r="S61" s="145"/>
      <c r="T61" s="284">
        <v>-971</v>
      </c>
      <c r="U61" s="285">
        <v>3126.9072000000001</v>
      </c>
      <c r="V61" s="226"/>
      <c r="W61" s="148"/>
      <c r="X61" s="260"/>
      <c r="Y61" s="259" t="e">
        <v>#VALUE!</v>
      </c>
      <c r="Z61" s="260"/>
      <c r="AC61" s="64">
        <v>0</v>
      </c>
      <c r="AF61" s="228">
        <v>0</v>
      </c>
      <c r="AI61" s="228">
        <v>0</v>
      </c>
      <c r="AJ61" s="228" t="e">
        <v>#VALUE!</v>
      </c>
      <c r="AM61" s="228" t="e">
        <v>#VALUE!</v>
      </c>
    </row>
    <row r="62" spans="2:39" hidden="1" x14ac:dyDescent="0.25">
      <c r="B62" s="316" t="s">
        <v>44</v>
      </c>
      <c r="C62" s="215">
        <v>3960</v>
      </c>
      <c r="D62" s="280">
        <v>789</v>
      </c>
      <c r="E62" s="217"/>
      <c r="F62" s="218">
        <v>0</v>
      </c>
      <c r="G62" s="317" t="s">
        <v>51</v>
      </c>
      <c r="H62" s="318" t="s">
        <v>51</v>
      </c>
      <c r="I62" s="319" t="s">
        <v>51</v>
      </c>
      <c r="J62" s="320" t="s">
        <v>51</v>
      </c>
      <c r="K62" s="321"/>
      <c r="L62" s="322" t="s">
        <v>51</v>
      </c>
      <c r="M62" s="323" t="s">
        <v>51</v>
      </c>
      <c r="N62" s="172"/>
      <c r="O62" s="222">
        <v>815</v>
      </c>
      <c r="P62" s="222"/>
      <c r="Q62" s="324" t="s">
        <v>51</v>
      </c>
      <c r="R62" s="320" t="s">
        <v>51</v>
      </c>
      <c r="S62" s="145"/>
      <c r="T62" s="284">
        <v>-13</v>
      </c>
      <c r="U62" s="285">
        <v>13</v>
      </c>
      <c r="V62" s="325"/>
      <c r="W62" s="148"/>
      <c r="X62" s="260"/>
      <c r="Y62" s="259" t="e">
        <v>#VALUE!</v>
      </c>
      <c r="Z62" s="260"/>
      <c r="AC62" s="64">
        <v>0</v>
      </c>
      <c r="AF62" s="228">
        <v>0</v>
      </c>
      <c r="AI62" s="228">
        <v>0</v>
      </c>
      <c r="AJ62" s="228" t="e">
        <v>#VALUE!</v>
      </c>
      <c r="AM62" s="228" t="e">
        <v>#VALUE!</v>
      </c>
    </row>
    <row r="63" spans="2:39" ht="15.75" hidden="1" thickBot="1" x14ac:dyDescent="0.3">
      <c r="B63" s="316" t="s">
        <v>68</v>
      </c>
      <c r="C63" s="215">
        <v>3900</v>
      </c>
      <c r="D63" s="326">
        <v>-2522</v>
      </c>
      <c r="E63" s="327">
        <v>-4705</v>
      </c>
      <c r="F63" s="328">
        <v>10000</v>
      </c>
      <c r="G63" s="329" t="s">
        <v>51</v>
      </c>
      <c r="H63" s="330" t="s">
        <v>51</v>
      </c>
      <c r="I63" s="331">
        <v>55795.740000000005</v>
      </c>
      <c r="J63" s="332">
        <v>11191.570000000007</v>
      </c>
      <c r="K63" s="333">
        <v>10000</v>
      </c>
      <c r="L63" s="334">
        <v>73907.310000000012</v>
      </c>
      <c r="M63" s="143"/>
      <c r="N63" s="172"/>
      <c r="O63" s="250">
        <v>61671</v>
      </c>
      <c r="P63" s="250"/>
      <c r="Q63" s="324" t="s">
        <v>51</v>
      </c>
      <c r="R63" s="320" t="s">
        <v>51</v>
      </c>
      <c r="S63" s="145"/>
      <c r="T63" s="225">
        <v>17552</v>
      </c>
      <c r="U63" s="147">
        <v>71745</v>
      </c>
      <c r="V63" s="335">
        <v>2162.3100000000122</v>
      </c>
      <c r="W63" s="148"/>
      <c r="X63" s="260"/>
      <c r="Y63" s="259" t="e">
        <v>#VALUE!</v>
      </c>
      <c r="Z63" s="260"/>
      <c r="AC63" s="64">
        <v>0</v>
      </c>
      <c r="AF63" s="228">
        <v>0</v>
      </c>
      <c r="AI63" s="228">
        <v>0</v>
      </c>
      <c r="AJ63" s="228" t="e">
        <v>#VALUE!</v>
      </c>
      <c r="AM63" s="228" t="e">
        <v>#VALUE!</v>
      </c>
    </row>
    <row r="64" spans="2:39" ht="15.75" hidden="1" thickBot="1" x14ac:dyDescent="0.3">
      <c r="B64" s="336" t="s">
        <v>9</v>
      </c>
      <c r="C64" s="337"/>
      <c r="D64" s="338">
        <v>124999</v>
      </c>
      <c r="E64" s="339">
        <v>-2899</v>
      </c>
      <c r="F64" s="339">
        <v>95495</v>
      </c>
      <c r="G64" s="127">
        <v>214599.00043708098</v>
      </c>
      <c r="H64" s="133">
        <v>243062.99999999991</v>
      </c>
      <c r="I64" s="340">
        <v>214599.00000000006</v>
      </c>
      <c r="J64" s="341">
        <v>156411.99999999997</v>
      </c>
      <c r="K64" s="342">
        <v>40000</v>
      </c>
      <c r="L64" s="343">
        <v>1293255.6003234403</v>
      </c>
      <c r="M64" s="344">
        <v>300</v>
      </c>
      <c r="N64" s="188"/>
      <c r="O64" s="127">
        <v>365973.74319999997</v>
      </c>
      <c r="P64" s="252"/>
      <c r="Q64" s="131">
        <v>192740</v>
      </c>
      <c r="R64" s="341">
        <v>241690</v>
      </c>
      <c r="S64" s="131"/>
      <c r="T64" s="178">
        <v>166154</v>
      </c>
      <c r="U64" s="133">
        <v>315475.74319999997</v>
      </c>
      <c r="V64" s="345"/>
      <c r="W64" s="345"/>
      <c r="X64" s="260"/>
      <c r="Y64" s="259">
        <v>-835593.59988635941</v>
      </c>
      <c r="Z64" s="260"/>
      <c r="AC64" s="64">
        <v>0</v>
      </c>
      <c r="AF64" s="228">
        <v>0</v>
      </c>
      <c r="AI64" s="228">
        <v>0</v>
      </c>
      <c r="AJ64" s="228">
        <v>-243062.99999999991</v>
      </c>
      <c r="AM64" s="228">
        <v>-243062.99999999991</v>
      </c>
    </row>
    <row r="65" spans="2:39" hidden="1" x14ac:dyDescent="0.25">
      <c r="B65" s="225"/>
      <c r="D65" s="228"/>
      <c r="E65" s="228"/>
      <c r="F65" s="228"/>
      <c r="I65" s="303"/>
      <c r="J65" s="346"/>
      <c r="K65" s="347" t="s">
        <v>55</v>
      </c>
      <c r="L65" s="348" t="s">
        <v>70</v>
      </c>
      <c r="M65" s="228"/>
      <c r="N65" s="349"/>
      <c r="O65" s="228"/>
      <c r="P65" s="228"/>
      <c r="Q65" s="228"/>
      <c r="R65" s="228"/>
      <c r="X65" s="260"/>
      <c r="Y65" s="259" t="e">
        <v>#VALUE!</v>
      </c>
      <c r="Z65" s="260"/>
      <c r="AC65" s="64">
        <v>0</v>
      </c>
      <c r="AF65" s="228">
        <v>0</v>
      </c>
      <c r="AI65" s="228">
        <v>0</v>
      </c>
      <c r="AJ65" s="228">
        <v>0</v>
      </c>
      <c r="AM65" s="228">
        <v>0</v>
      </c>
    </row>
    <row r="66" spans="2:39" x14ac:dyDescent="0.25">
      <c r="X66" s="259">
        <v>6734.6423999999997</v>
      </c>
      <c r="Y66" s="259">
        <v>15599.455991862946</v>
      </c>
      <c r="Z66" s="259">
        <v>8864.813591862945</v>
      </c>
      <c r="AA66" s="229">
        <v>2650.182332655746</v>
      </c>
    </row>
  </sheetData>
  <mergeCells count="23">
    <mergeCell ref="B14:C14"/>
    <mergeCell ref="V6:V7"/>
    <mergeCell ref="W6:W7"/>
    <mergeCell ref="B8:C8"/>
    <mergeCell ref="B10:C10"/>
    <mergeCell ref="B11:C12"/>
    <mergeCell ref="B13:L13"/>
    <mergeCell ref="F6:F7"/>
    <mergeCell ref="G6:G7"/>
    <mergeCell ref="H6:H7"/>
    <mergeCell ref="I6:I7"/>
    <mergeCell ref="J6:J7"/>
    <mergeCell ref="N6:N13"/>
    <mergeCell ref="B4:B5"/>
    <mergeCell ref="C4:C5"/>
    <mergeCell ref="G4:H4"/>
    <mergeCell ref="I4:J4"/>
    <mergeCell ref="Q4:R4"/>
    <mergeCell ref="L5:L7"/>
    <mergeCell ref="B6:B7"/>
    <mergeCell ref="C6:C7"/>
    <mergeCell ref="D6:D7"/>
    <mergeCell ref="E6:E7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76"/>
  <sheetViews>
    <sheetView zoomScale="80" zoomScaleNormal="80" workbookViewId="0">
      <pane xSplit="3" ySplit="7" topLeftCell="D38" activePane="bottomRight" state="frozen"/>
      <selection pane="topRight" activeCell="D1" sqref="D1"/>
      <selection pane="bottomLeft" activeCell="A7" sqref="A7"/>
      <selection pane="bottomRight" activeCell="F40" sqref="F40"/>
    </sheetView>
  </sheetViews>
  <sheetFormatPr defaultColWidth="9.140625" defaultRowHeight="15" x14ac:dyDescent="0.25"/>
  <cols>
    <col min="1" max="1" width="2.28515625" style="61" customWidth="1"/>
    <col min="2" max="2" width="27.7109375" style="61" customWidth="1"/>
    <col min="3" max="3" width="12" style="61" customWidth="1"/>
    <col min="4" max="4" width="12.42578125" style="61" customWidth="1"/>
    <col min="5" max="5" width="12.42578125" style="60" customWidth="1"/>
    <col min="6" max="6" width="11.5703125" style="61" customWidth="1"/>
    <col min="7" max="7" width="11.5703125" style="530" customWidth="1"/>
    <col min="8" max="8" width="13.140625" style="530" customWidth="1"/>
    <col min="9" max="9" width="13" style="530" customWidth="1"/>
    <col min="10" max="10" width="11.7109375" style="3" customWidth="1"/>
    <col min="11" max="11" width="10.42578125" style="530" customWidth="1"/>
    <col min="12" max="12" width="8.7109375" style="5" customWidth="1"/>
    <col min="13" max="14" width="9.140625" style="61" customWidth="1"/>
    <col min="15" max="15" width="9.140625" style="400" customWidth="1"/>
    <col min="16" max="16" width="9.7109375" style="400" customWidth="1"/>
    <col min="17" max="17" width="9.140625" style="400" customWidth="1"/>
    <col min="18" max="18" width="9.42578125" style="400" customWidth="1"/>
    <col min="19" max="19" width="16" style="400" customWidth="1"/>
    <col min="20" max="20" width="9.140625" style="61"/>
    <col min="21" max="21" width="11.7109375" style="61" customWidth="1"/>
    <col min="22" max="22" width="10.140625" style="61" customWidth="1"/>
    <col min="23" max="23" width="9" style="60" customWidth="1"/>
    <col min="24" max="24" width="8.28515625" style="61" customWidth="1"/>
    <col min="25" max="25" width="13.5703125" style="61" customWidth="1"/>
    <col min="26" max="26" width="13.28515625" style="61" customWidth="1"/>
    <col min="27" max="16384" width="9.140625" style="61"/>
  </cols>
  <sheetData>
    <row r="1" spans="2:23" ht="18.75" x14ac:dyDescent="0.3">
      <c r="B1" s="534" t="s">
        <v>125</v>
      </c>
      <c r="C1" s="3"/>
      <c r="F1" s="3"/>
      <c r="H1" s="8"/>
      <c r="I1" s="458"/>
    </row>
    <row r="2" spans="2:23" ht="18.75" x14ac:dyDescent="0.3">
      <c r="B2" s="535" t="s">
        <v>152</v>
      </c>
      <c r="C2" s="3"/>
      <c r="F2" s="3"/>
      <c r="H2" s="466">
        <f>H10/H8%</f>
        <v>20.348205659593425</v>
      </c>
      <c r="I2" s="466">
        <f>I10/I8%</f>
        <v>18.705538128147584</v>
      </c>
    </row>
    <row r="3" spans="2:23" ht="15.75" thickBot="1" x14ac:dyDescent="0.3"/>
    <row r="4" spans="2:23" ht="37.5" customHeight="1" thickBot="1" x14ac:dyDescent="0.3">
      <c r="B4" s="786" t="s">
        <v>62</v>
      </c>
      <c r="C4" s="787"/>
      <c r="D4" s="886" t="s">
        <v>155</v>
      </c>
      <c r="E4" s="888" t="s">
        <v>156</v>
      </c>
      <c r="F4" s="805" t="s">
        <v>154</v>
      </c>
      <c r="G4" s="807"/>
      <c r="H4" s="830" t="s">
        <v>157</v>
      </c>
      <c r="I4" s="831"/>
      <c r="J4" s="890" t="s">
        <v>153</v>
      </c>
      <c r="K4" s="891"/>
      <c r="L4" s="396"/>
      <c r="M4" s="875" t="s">
        <v>158</v>
      </c>
      <c r="N4" s="876"/>
      <c r="O4" s="876"/>
      <c r="P4" s="877"/>
      <c r="Q4" s="429" t="s">
        <v>133</v>
      </c>
      <c r="R4" s="429" t="s">
        <v>131</v>
      </c>
      <c r="S4" s="429" t="s">
        <v>134</v>
      </c>
    </row>
    <row r="5" spans="2:23" ht="15.75" thickBot="1" x14ac:dyDescent="0.3">
      <c r="B5" s="788"/>
      <c r="C5" s="789"/>
      <c r="D5" s="887"/>
      <c r="E5" s="889"/>
      <c r="F5" s="45" t="s">
        <v>84</v>
      </c>
      <c r="G5" s="355" t="s">
        <v>105</v>
      </c>
      <c r="H5" s="55" t="s">
        <v>84</v>
      </c>
      <c r="I5" s="452" t="s">
        <v>105</v>
      </c>
      <c r="J5" s="878"/>
      <c r="K5" s="879"/>
      <c r="L5" s="392"/>
      <c r="M5" s="440" t="s">
        <v>49</v>
      </c>
      <c r="N5" s="428" t="s">
        <v>50</v>
      </c>
      <c r="O5" s="884" t="s">
        <v>132</v>
      </c>
      <c r="P5" s="885"/>
      <c r="Q5" s="401"/>
      <c r="R5" s="401"/>
      <c r="S5" s="401"/>
    </row>
    <row r="6" spans="2:23" ht="15.75" hidden="1" customHeight="1" thickBot="1" x14ac:dyDescent="0.3">
      <c r="B6" s="790">
        <v>-0.39</v>
      </c>
      <c r="C6" s="813"/>
      <c r="D6" s="387"/>
      <c r="E6" s="467"/>
      <c r="F6" s="796"/>
      <c r="G6" s="798"/>
      <c r="H6" s="800"/>
      <c r="I6" s="809" t="s">
        <v>94</v>
      </c>
      <c r="J6" s="880"/>
      <c r="K6" s="881"/>
      <c r="L6" s="392"/>
      <c r="M6" s="441"/>
      <c r="N6" s="31"/>
      <c r="O6" s="402"/>
      <c r="P6" s="403"/>
      <c r="Q6" s="401"/>
      <c r="R6" s="401"/>
      <c r="S6" s="401"/>
    </row>
    <row r="7" spans="2:23" ht="69.75" hidden="1" customHeight="1" thickBot="1" x14ac:dyDescent="0.3">
      <c r="B7" s="791"/>
      <c r="C7" s="814"/>
      <c r="D7" s="454"/>
      <c r="E7" s="468"/>
      <c r="F7" s="797"/>
      <c r="G7" s="799"/>
      <c r="H7" s="801"/>
      <c r="I7" s="810"/>
      <c r="J7" s="882"/>
      <c r="K7" s="883"/>
      <c r="L7" s="392"/>
      <c r="M7" s="441"/>
      <c r="N7" s="31"/>
      <c r="O7" s="402"/>
      <c r="P7" s="403"/>
      <c r="Q7" s="401"/>
      <c r="R7" s="401"/>
      <c r="S7" s="401"/>
    </row>
    <row r="8" spans="2:23" ht="18.75" customHeight="1" thickBot="1" x14ac:dyDescent="0.3">
      <c r="B8" s="817" t="s">
        <v>88</v>
      </c>
      <c r="C8" s="818"/>
      <c r="D8" s="374"/>
      <c r="E8" s="469"/>
      <c r="F8" s="47"/>
      <c r="G8" s="36"/>
      <c r="H8" s="58">
        <v>199767</v>
      </c>
      <c r="I8" s="35">
        <f>215165+31254</f>
        <v>246419</v>
      </c>
      <c r="J8" s="453">
        <f>H8+I8</f>
        <v>446186</v>
      </c>
      <c r="K8" s="367"/>
      <c r="L8" s="394"/>
      <c r="M8" s="441"/>
      <c r="N8" s="31"/>
      <c r="O8" s="404">
        <f>254899+254137</f>
        <v>509036</v>
      </c>
      <c r="P8" s="435"/>
      <c r="Q8" s="435"/>
      <c r="R8" s="405">
        <f>J8-O8</f>
        <v>-62850</v>
      </c>
      <c r="S8" s="405"/>
      <c r="T8" s="52"/>
      <c r="U8" s="52"/>
      <c r="V8" s="52"/>
    </row>
    <row r="9" spans="2:23" ht="15.75" thickBot="1" x14ac:dyDescent="0.3">
      <c r="B9" s="43" t="s">
        <v>103</v>
      </c>
      <c r="C9" s="353"/>
      <c r="D9" s="382"/>
      <c r="E9" s="470"/>
      <c r="F9" s="390"/>
      <c r="G9" s="375"/>
      <c r="H9" s="50">
        <f>-H10/H8</f>
        <v>-0.20348205659593427</v>
      </c>
      <c r="I9" s="57">
        <f>-I10/I8</f>
        <v>-0.18705538128147586</v>
      </c>
      <c r="J9" s="56"/>
      <c r="K9" s="370"/>
      <c r="L9" s="392"/>
      <c r="M9" s="441"/>
      <c r="N9" s="31"/>
      <c r="O9" s="406"/>
      <c r="P9" s="401"/>
      <c r="Q9" s="401"/>
      <c r="R9" s="407"/>
      <c r="S9" s="407"/>
      <c r="T9" s="52"/>
      <c r="U9" s="60"/>
      <c r="V9" s="60"/>
      <c r="W9" s="48"/>
    </row>
    <row r="10" spans="2:23" ht="15.75" thickBot="1" x14ac:dyDescent="0.3">
      <c r="B10" s="784"/>
      <c r="C10" s="785"/>
      <c r="D10" s="56"/>
      <c r="E10" s="471"/>
      <c r="F10" s="56"/>
      <c r="G10" s="56"/>
      <c r="H10" s="443">
        <v>40649</v>
      </c>
      <c r="I10" s="443">
        <f>J10-H10</f>
        <v>46094</v>
      </c>
      <c r="J10" s="56">
        <v>86743</v>
      </c>
      <c r="K10" s="17">
        <f>-(J10)/J8</f>
        <v>-0.19440995459292762</v>
      </c>
      <c r="L10" s="397"/>
      <c r="M10" s="441"/>
      <c r="N10" s="31"/>
      <c r="O10" s="406">
        <v>91550</v>
      </c>
      <c r="P10" s="436">
        <v>-0.1823030576174802</v>
      </c>
      <c r="Q10" s="436"/>
      <c r="R10" s="408">
        <f>J10-O10</f>
        <v>-4807</v>
      </c>
      <c r="S10" s="408"/>
      <c r="T10" s="1"/>
      <c r="U10" s="1"/>
      <c r="V10" s="1"/>
      <c r="W10" s="62"/>
    </row>
    <row r="11" spans="2:23" ht="15.75" thickBot="1" x14ac:dyDescent="0.3">
      <c r="B11" s="819"/>
      <c r="C11" s="820"/>
      <c r="D11" s="383"/>
      <c r="E11" s="472"/>
      <c r="F11" s="26"/>
      <c r="G11" s="38"/>
      <c r="H11" s="33">
        <f>H8-H10</f>
        <v>159118</v>
      </c>
      <c r="I11" s="39">
        <f>I8-I10</f>
        <v>200325</v>
      </c>
      <c r="J11" s="40"/>
      <c r="K11" s="370"/>
      <c r="L11" s="392"/>
      <c r="M11" s="442"/>
      <c r="N11" s="32"/>
      <c r="O11" s="410"/>
      <c r="P11" s="439"/>
      <c r="Q11" s="439"/>
      <c r="R11" s="409">
        <f>R8-R10</f>
        <v>-58043</v>
      </c>
      <c r="S11" s="409"/>
      <c r="T11" s="1"/>
      <c r="U11" s="1"/>
      <c r="V11" s="1"/>
      <c r="W11" s="63"/>
    </row>
    <row r="12" spans="2:23" ht="15.75" thickBot="1" x14ac:dyDescent="0.3">
      <c r="B12" s="821" t="s">
        <v>135</v>
      </c>
      <c r="C12" s="822"/>
      <c r="D12" s="384"/>
      <c r="E12" s="473"/>
      <c r="F12" s="41"/>
      <c r="G12" s="356"/>
      <c r="H12" s="359">
        <f>-26%-H9</f>
        <v>-5.651794340406574E-2</v>
      </c>
      <c r="I12" s="49">
        <f>I15-I9</f>
        <v>-0.20294461871852415</v>
      </c>
      <c r="J12" s="42"/>
      <c r="K12" s="370"/>
      <c r="L12" s="392"/>
      <c r="M12" s="441"/>
      <c r="N12" s="31"/>
      <c r="O12" s="406"/>
      <c r="P12" s="401"/>
      <c r="Q12" s="401"/>
      <c r="R12" s="403"/>
      <c r="S12" s="403"/>
      <c r="T12" s="54"/>
      <c r="U12" s="1"/>
      <c r="V12" s="1"/>
      <c r="W12" s="63"/>
    </row>
    <row r="13" spans="2:23" ht="15.75" thickBot="1" x14ac:dyDescent="0.3">
      <c r="B13" s="823"/>
      <c r="C13" s="824"/>
      <c r="D13" s="385">
        <f>15680-D17</f>
        <v>13499</v>
      </c>
      <c r="E13" s="385">
        <f>-SUM(E19:E59)-E14</f>
        <v>477</v>
      </c>
      <c r="F13" s="46"/>
      <c r="G13" s="357"/>
      <c r="H13" s="351">
        <f>-H12*(H8)</f>
        <v>11290.42</v>
      </c>
      <c r="I13" s="352">
        <f>-I12*(I8)</f>
        <v>50009.41</v>
      </c>
      <c r="J13" s="42">
        <f>-H8*H12-I8*I12</f>
        <v>61299.83</v>
      </c>
      <c r="K13" s="350">
        <f>-J13/J8</f>
        <v>-0.137386269403343</v>
      </c>
      <c r="L13" s="395"/>
      <c r="M13" s="410">
        <v>21805.74514982984</v>
      </c>
      <c r="N13" s="410">
        <v>46989.624850170163</v>
      </c>
      <c r="O13" s="410">
        <v>68795.37</v>
      </c>
      <c r="P13" s="437">
        <v>-0.14606946359707679</v>
      </c>
      <c r="Q13" s="511">
        <f>H13-M13</f>
        <v>-10515.32514982984</v>
      </c>
      <c r="R13" s="412">
        <f>I13-N13</f>
        <v>3019.7851498298405</v>
      </c>
      <c r="S13" s="409">
        <f>J13-O13</f>
        <v>-7495.5399999999936</v>
      </c>
      <c r="T13" s="53"/>
      <c r="U13" s="60"/>
      <c r="W13" s="61"/>
    </row>
    <row r="14" spans="2:23" ht="15.75" thickBot="1" x14ac:dyDescent="0.3">
      <c r="B14" s="20" t="s">
        <v>138</v>
      </c>
      <c r="C14" s="21">
        <v>3740</v>
      </c>
      <c r="D14" s="425">
        <f>-33182-1536</f>
        <v>-34718</v>
      </c>
      <c r="E14" s="426"/>
      <c r="F14" s="497"/>
      <c r="G14" s="496"/>
      <c r="H14" s="497"/>
      <c r="I14" s="495"/>
      <c r="J14" s="494"/>
      <c r="K14" s="493"/>
      <c r="L14" s="393"/>
      <c r="M14" s="485">
        <v>0</v>
      </c>
      <c r="N14" s="485">
        <v>0</v>
      </c>
      <c r="O14" s="485">
        <v>0</v>
      </c>
      <c r="P14" s="486">
        <v>0</v>
      </c>
      <c r="Q14" s="511">
        <v>0</v>
      </c>
      <c r="R14" s="431">
        <v>0</v>
      </c>
      <c r="S14" s="412">
        <v>0</v>
      </c>
      <c r="W14" s="61"/>
    </row>
    <row r="15" spans="2:23" ht="15.75" thickBot="1" x14ac:dyDescent="0.3">
      <c r="B15" s="825" t="s">
        <v>104</v>
      </c>
      <c r="C15" s="826"/>
      <c r="D15" s="354"/>
      <c r="E15" s="474"/>
      <c r="F15" s="372"/>
      <c r="G15" s="372"/>
      <c r="H15" s="457">
        <f>-0.26</f>
        <v>-0.26</v>
      </c>
      <c r="I15" s="456">
        <f>-39%</f>
        <v>-0.39</v>
      </c>
      <c r="J15" s="354"/>
      <c r="K15" s="373">
        <f>(K10+K13)</f>
        <v>-0.33179622399627062</v>
      </c>
      <c r="L15" s="391"/>
      <c r="M15" s="441"/>
      <c r="N15" s="31"/>
      <c r="O15" s="402"/>
      <c r="P15" s="438">
        <v>-0.32837252121455696</v>
      </c>
      <c r="Q15" s="438"/>
      <c r="R15" s="403"/>
      <c r="S15" s="403"/>
      <c r="U15" s="60"/>
      <c r="W15" s="61"/>
    </row>
    <row r="16" spans="2:23" ht="15.75" thickBot="1" x14ac:dyDescent="0.3">
      <c r="B16" s="51" t="s">
        <v>159</v>
      </c>
      <c r="C16" s="354"/>
      <c r="D16" s="386"/>
      <c r="E16" s="475"/>
      <c r="F16" s="371">
        <f>H16/(1-0.26)</f>
        <v>540.54054054054052</v>
      </c>
      <c r="G16" s="371"/>
      <c r="H16" s="381">
        <v>400</v>
      </c>
      <c r="I16" s="381"/>
      <c r="J16" s="362"/>
      <c r="K16" s="370"/>
      <c r="L16" s="392"/>
      <c r="M16" s="441"/>
      <c r="N16" s="31"/>
      <c r="O16" s="402"/>
      <c r="P16" s="401"/>
      <c r="Q16" s="401"/>
      <c r="R16" s="403"/>
      <c r="S16" s="403"/>
      <c r="W16" s="61"/>
    </row>
    <row r="17" spans="2:32" ht="15.75" thickBot="1" x14ac:dyDescent="0.3">
      <c r="B17" s="51" t="s">
        <v>137</v>
      </c>
      <c r="C17" s="354"/>
      <c r="D17" s="376">
        <v>2181</v>
      </c>
      <c r="E17" s="476"/>
      <c r="F17" s="372"/>
      <c r="G17" s="358">
        <f>3125</f>
        <v>3125</v>
      </c>
      <c r="H17" s="378"/>
      <c r="I17" s="379">
        <f>G17*(1-0.39)</f>
        <v>1906.25</v>
      </c>
      <c r="J17" s="380"/>
      <c r="K17" s="370"/>
      <c r="L17" s="392"/>
      <c r="M17" s="442"/>
      <c r="N17" s="32"/>
      <c r="O17" s="424"/>
      <c r="P17" s="439"/>
      <c r="Q17" s="401"/>
      <c r="R17" s="403"/>
      <c r="S17" s="403"/>
      <c r="U17" s="60"/>
      <c r="W17" s="61"/>
    </row>
    <row r="18" spans="2:32" ht="16.5" thickBot="1" x14ac:dyDescent="0.3">
      <c r="B18" s="815" t="s">
        <v>129</v>
      </c>
      <c r="C18" s="816"/>
      <c r="D18" s="376">
        <f>SUM(D19:D59)</f>
        <v>116225</v>
      </c>
      <c r="E18" s="477">
        <f>SUM(E20:E58)</f>
        <v>-477</v>
      </c>
      <c r="F18" s="44" t="e">
        <f>SUM(F19:F59)</f>
        <v>#REF!</v>
      </c>
      <c r="G18" s="358">
        <f>SUM(G20:G59)</f>
        <v>243293.60813955218</v>
      </c>
      <c r="H18" s="360" t="e">
        <f>SUM(H20:H59)</f>
        <v>#REF!</v>
      </c>
      <c r="I18" s="360">
        <f>SUM(I20:I59)</f>
        <v>148409.1009651268</v>
      </c>
      <c r="J18" s="27" t="e">
        <f t="shared" ref="J18:J32" si="0">H18+I18</f>
        <v>#REF!</v>
      </c>
      <c r="K18" s="361">
        <f>-(J10+J13+H16)/J8</f>
        <v>-0.33269271111150961</v>
      </c>
      <c r="L18" s="395"/>
      <c r="M18" s="433">
        <v>166465.4936364372</v>
      </c>
      <c r="N18" s="434">
        <v>151880.36200000002</v>
      </c>
      <c r="O18" s="433">
        <v>317345.87694035284</v>
      </c>
      <c r="P18" s="434">
        <v>-0.33181574250850832</v>
      </c>
      <c r="Q18" s="432" t="e">
        <f t="shared" ref="Q18:R59" si="1">H18-M18</f>
        <v>#REF!</v>
      </c>
      <c r="R18" s="430">
        <f t="shared" si="1"/>
        <v>-3471.2610348732269</v>
      </c>
      <c r="S18" s="430" t="e">
        <f>Q18+R18</f>
        <v>#REF!</v>
      </c>
      <c r="V18" s="59"/>
    </row>
    <row r="19" spans="2:32" ht="15.75" thickBot="1" x14ac:dyDescent="0.3">
      <c r="B19" s="20" t="s">
        <v>1</v>
      </c>
      <c r="C19" s="21">
        <v>3110</v>
      </c>
      <c r="D19" s="24">
        <v>1045</v>
      </c>
      <c r="E19" s="426"/>
      <c r="F19" s="508" t="e">
        <f>#REF!</f>
        <v>#REF!</v>
      </c>
      <c r="G19" s="23">
        <v>0</v>
      </c>
      <c r="H19" s="508" t="e">
        <f t="shared" ref="H19:H40" si="2">F19*(1-0.265)</f>
        <v>#REF!</v>
      </c>
      <c r="I19" s="22">
        <f>G19*(1-0.39)</f>
        <v>0</v>
      </c>
      <c r="J19" s="505" t="e">
        <f t="shared" si="0"/>
        <v>#REF!</v>
      </c>
      <c r="K19" s="451" t="e">
        <f>SUM(J19:J22)</f>
        <v>#REF!</v>
      </c>
      <c r="L19" s="398"/>
      <c r="M19" s="420"/>
      <c r="N19" s="446"/>
      <c r="O19" s="450">
        <v>0</v>
      </c>
      <c r="P19" s="492">
        <v>49034.953977683908</v>
      </c>
      <c r="Q19" s="512" t="e">
        <f t="shared" si="1"/>
        <v>#REF!</v>
      </c>
      <c r="R19" s="423">
        <f t="shared" si="1"/>
        <v>0</v>
      </c>
      <c r="S19" s="423"/>
      <c r="U19" s="513" t="s">
        <v>136</v>
      </c>
      <c r="V19" s="514" t="s">
        <v>139</v>
      </c>
      <c r="W19" s="515"/>
    </row>
    <row r="20" spans="2:32" ht="15.75" thickBot="1" x14ac:dyDescent="0.3">
      <c r="B20" s="2" t="s">
        <v>29</v>
      </c>
      <c r="C20" s="15">
        <v>3111</v>
      </c>
      <c r="D20" s="4">
        <f>13371+104</f>
        <v>13475</v>
      </c>
      <c r="E20" s="377"/>
      <c r="F20" s="507" t="e">
        <f>#REF!</f>
        <v>#REF!</v>
      </c>
      <c r="G20" s="13">
        <v>15147.852804708693</v>
      </c>
      <c r="H20" s="506" t="e">
        <f t="shared" si="2"/>
        <v>#REF!</v>
      </c>
      <c r="I20" s="416">
        <f>G20*(1-0.39)</f>
        <v>9240.1902108723025</v>
      </c>
      <c r="J20" s="504" t="e">
        <f t="shared" si="0"/>
        <v>#REF!</v>
      </c>
      <c r="K20" s="33"/>
      <c r="L20" s="9"/>
      <c r="M20" s="421">
        <v>6442.2822661462387</v>
      </c>
      <c r="N20" s="444">
        <v>11193.041755562161</v>
      </c>
      <c r="O20" s="447">
        <v>19649.58880811392</v>
      </c>
      <c r="P20" s="448"/>
      <c r="Q20" s="512" t="e">
        <f t="shared" si="1"/>
        <v>#REF!</v>
      </c>
      <c r="R20" s="423">
        <f t="shared" si="1"/>
        <v>-1952.8515446898582</v>
      </c>
      <c r="S20" s="423" t="e">
        <f>Q20+R20</f>
        <v>#REF!</v>
      </c>
      <c r="U20" s="516" t="e">
        <f>#REF!</f>
        <v>#REF!</v>
      </c>
      <c r="V20" s="517" t="e">
        <f>(H8-F16)*1/U20</f>
        <v>#REF!</v>
      </c>
      <c r="W20" s="518"/>
    </row>
    <row r="21" spans="2:32" x14ac:dyDescent="0.25">
      <c r="B21" s="37" t="s">
        <v>0</v>
      </c>
      <c r="C21" s="16">
        <v>3112</v>
      </c>
      <c r="D21" s="4">
        <f>10332</f>
        <v>10332</v>
      </c>
      <c r="E21" s="377">
        <v>-40</v>
      </c>
      <c r="F21" s="507" t="e">
        <f>#REF!</f>
        <v>#REF!</v>
      </c>
      <c r="G21" s="13">
        <v>9859.3033823996575</v>
      </c>
      <c r="H21" s="506" t="e">
        <f t="shared" si="2"/>
        <v>#REF!</v>
      </c>
      <c r="I21" s="416">
        <f>G21*(1-0.39)</f>
        <v>6014.1750632637913</v>
      </c>
      <c r="J21" s="504" t="e">
        <f t="shared" si="0"/>
        <v>#REF!</v>
      </c>
      <c r="K21" s="33"/>
      <c r="L21" s="9"/>
      <c r="M21" s="421">
        <v>6693.4679580517286</v>
      </c>
      <c r="N21" s="444">
        <v>6792.3327207178409</v>
      </c>
      <c r="O21" s="447">
        <v>12023.403483099479</v>
      </c>
      <c r="P21" s="448"/>
      <c r="Q21" s="512" t="e">
        <f t="shared" si="1"/>
        <v>#REF!</v>
      </c>
      <c r="R21" s="423">
        <f t="shared" si="1"/>
        <v>-778.15765745404951</v>
      </c>
      <c r="S21" s="423" t="e">
        <f t="shared" ref="S21:S59" si="3">Q21+R21</f>
        <v>#REF!</v>
      </c>
      <c r="U21" s="60"/>
    </row>
    <row r="22" spans="2:32" ht="15.75" thickBot="1" x14ac:dyDescent="0.3">
      <c r="B22" s="18" t="s">
        <v>79</v>
      </c>
      <c r="C22" s="19">
        <v>3113</v>
      </c>
      <c r="D22" s="4">
        <f>6561+816</f>
        <v>7377</v>
      </c>
      <c r="E22" s="377"/>
      <c r="F22" s="507" t="e">
        <f>#REF!</f>
        <v>#REF!</v>
      </c>
      <c r="G22" s="13">
        <v>20318.956553305306</v>
      </c>
      <c r="H22" s="506" t="e">
        <f t="shared" si="2"/>
        <v>#REF!</v>
      </c>
      <c r="I22" s="416">
        <f>G22*(1-0.39)</f>
        <v>12394.563497516237</v>
      </c>
      <c r="J22" s="503" t="e">
        <f t="shared" si="0"/>
        <v>#REF!</v>
      </c>
      <c r="K22" s="34"/>
      <c r="L22" s="9"/>
      <c r="M22" s="422">
        <v>7658.1579363425381</v>
      </c>
      <c r="N22" s="445">
        <v>11946.452774068341</v>
      </c>
      <c r="O22" s="447">
        <v>17361.961686470513</v>
      </c>
      <c r="P22" s="448"/>
      <c r="Q22" s="512" t="e">
        <f t="shared" si="1"/>
        <v>#REF!</v>
      </c>
      <c r="R22" s="423">
        <f t="shared" si="1"/>
        <v>448.11072344789682</v>
      </c>
      <c r="S22" s="423" t="e">
        <f t="shared" si="3"/>
        <v>#REF!</v>
      </c>
      <c r="V22" s="455"/>
    </row>
    <row r="23" spans="2:32" ht="15.75" thickBot="1" x14ac:dyDescent="0.3">
      <c r="B23" s="20" t="s">
        <v>2</v>
      </c>
      <c r="C23" s="21">
        <v>3120</v>
      </c>
      <c r="D23" s="24">
        <v>1555</v>
      </c>
      <c r="E23" s="426">
        <v>-2</v>
      </c>
      <c r="F23" s="508" t="e">
        <f>#REF!</f>
        <v>#REF!</v>
      </c>
      <c r="G23" s="23">
        <v>0</v>
      </c>
      <c r="H23" s="508" t="e">
        <f t="shared" si="2"/>
        <v>#REF!</v>
      </c>
      <c r="I23" s="417">
        <f>G23*(1-0.39)</f>
        <v>0</v>
      </c>
      <c r="J23" s="489" t="e">
        <f t="shared" si="0"/>
        <v>#REF!</v>
      </c>
      <c r="K23" s="451" t="e">
        <f>SUM(J23:J27)</f>
        <v>#REF!</v>
      </c>
      <c r="L23" s="398"/>
      <c r="M23" s="420">
        <v>0</v>
      </c>
      <c r="N23" s="446">
        <v>0</v>
      </c>
      <c r="O23" s="450">
        <v>0</v>
      </c>
      <c r="P23" s="449">
        <v>39474.682519884591</v>
      </c>
      <c r="Q23" s="512" t="e">
        <f t="shared" si="1"/>
        <v>#REF!</v>
      </c>
      <c r="R23" s="423">
        <f t="shared" si="1"/>
        <v>0</v>
      </c>
      <c r="S23" s="423" t="e">
        <f t="shared" si="3"/>
        <v>#REF!</v>
      </c>
      <c r="U23" s="491"/>
      <c r="V23" s="1"/>
    </row>
    <row r="24" spans="2:32" x14ac:dyDescent="0.25">
      <c r="B24" s="2" t="s">
        <v>3</v>
      </c>
      <c r="C24" s="15">
        <v>3122</v>
      </c>
      <c r="D24" s="4">
        <f>6489+8</f>
        <v>6497</v>
      </c>
      <c r="E24" s="377"/>
      <c r="F24" s="507" t="e">
        <f>#REF!</f>
        <v>#REF!</v>
      </c>
      <c r="G24" s="25">
        <v>14810.681694120125</v>
      </c>
      <c r="H24" s="506" t="e">
        <f t="shared" si="2"/>
        <v>#REF!</v>
      </c>
      <c r="I24" s="419">
        <f>(G24*(1-0.39))-543-367</f>
        <v>8124.5158334132757</v>
      </c>
      <c r="J24" s="504" t="e">
        <f t="shared" si="0"/>
        <v>#REF!</v>
      </c>
      <c r="K24" s="33"/>
      <c r="L24" s="9"/>
      <c r="M24" s="421">
        <v>912.4711760123389</v>
      </c>
      <c r="N24" s="444">
        <v>7844.4872690676093</v>
      </c>
      <c r="O24" s="447">
        <v>7808.0476995362915</v>
      </c>
      <c r="P24" s="448"/>
      <c r="Q24" s="512" t="e">
        <f t="shared" si="1"/>
        <v>#REF!</v>
      </c>
      <c r="R24" s="423">
        <f t="shared" si="1"/>
        <v>280.02856434566638</v>
      </c>
      <c r="S24" s="423" t="e">
        <f t="shared" si="3"/>
        <v>#REF!</v>
      </c>
    </row>
    <row r="25" spans="2:32" x14ac:dyDescent="0.25">
      <c r="B25" s="2" t="s">
        <v>30</v>
      </c>
      <c r="C25" s="15">
        <v>3123</v>
      </c>
      <c r="D25" s="4">
        <f>8707+1176</f>
        <v>9883</v>
      </c>
      <c r="E25" s="377"/>
      <c r="F25" s="507" t="e">
        <f>#REF!</f>
        <v>#REF!</v>
      </c>
      <c r="G25" s="25">
        <v>13738.004873585658</v>
      </c>
      <c r="H25" s="506" t="e">
        <f t="shared" si="2"/>
        <v>#REF!</v>
      </c>
      <c r="I25" s="416">
        <f>(G25*(1-0.39))</f>
        <v>8380.1829728872508</v>
      </c>
      <c r="J25" s="504" t="e">
        <f t="shared" si="0"/>
        <v>#REF!</v>
      </c>
      <c r="K25" s="33"/>
      <c r="L25" s="9"/>
      <c r="M25" s="421">
        <v>19532.351878760517</v>
      </c>
      <c r="N25" s="444">
        <v>8212.5949044071422</v>
      </c>
      <c r="O25" s="447">
        <v>26162.789315709531</v>
      </c>
      <c r="P25" s="448"/>
      <c r="Q25" s="512" t="e">
        <f t="shared" si="1"/>
        <v>#REF!</v>
      </c>
      <c r="R25" s="423">
        <f t="shared" si="1"/>
        <v>167.58806848010863</v>
      </c>
      <c r="S25" s="423" t="e">
        <f t="shared" si="3"/>
        <v>#REF!</v>
      </c>
    </row>
    <row r="26" spans="2:32" x14ac:dyDescent="0.25">
      <c r="B26" s="2" t="s">
        <v>4</v>
      </c>
      <c r="C26" s="15">
        <v>3125</v>
      </c>
      <c r="D26" s="4">
        <f>3568+319</f>
        <v>3887</v>
      </c>
      <c r="E26" s="377"/>
      <c r="F26" s="507" t="e">
        <f>#REF!</f>
        <v>#REF!</v>
      </c>
      <c r="G26" s="25">
        <v>1833.320986648695</v>
      </c>
      <c r="H26" s="506" t="e">
        <f t="shared" si="2"/>
        <v>#REF!</v>
      </c>
      <c r="I26" s="416">
        <f>(G26*(1-0.39))+543-543+367</f>
        <v>1485.325801855704</v>
      </c>
      <c r="J26" s="504" t="e">
        <f t="shared" si="0"/>
        <v>#REF!</v>
      </c>
      <c r="K26" s="33"/>
      <c r="L26" s="9"/>
      <c r="M26" s="421">
        <v>1248.8956057881931</v>
      </c>
      <c r="N26" s="444">
        <v>1447.1914807477433</v>
      </c>
      <c r="O26" s="447">
        <v>2721.0735461479026</v>
      </c>
      <c r="P26" s="448"/>
      <c r="Q26" s="512" t="e">
        <f t="shared" si="1"/>
        <v>#REF!</v>
      </c>
      <c r="R26" s="423">
        <f t="shared" si="1"/>
        <v>38.134321107960659</v>
      </c>
      <c r="S26" s="423" t="e">
        <f t="shared" si="3"/>
        <v>#REF!</v>
      </c>
    </row>
    <row r="27" spans="2:32" ht="15.75" thickBot="1" x14ac:dyDescent="0.3">
      <c r="B27" s="18" t="s">
        <v>5</v>
      </c>
      <c r="C27" s="19">
        <v>3127</v>
      </c>
      <c r="D27" s="4">
        <f>2163+8</f>
        <v>2171</v>
      </c>
      <c r="E27" s="377"/>
      <c r="F27" s="507" t="e">
        <f>#REF!</f>
        <v>#REF!</v>
      </c>
      <c r="G27" s="25">
        <v>3649.4012716291572</v>
      </c>
      <c r="H27" s="506" t="e">
        <f t="shared" si="2"/>
        <v>#REF!</v>
      </c>
      <c r="I27" s="419">
        <f>(G27*(1-0.39))-2000</f>
        <v>226.13477569378574</v>
      </c>
      <c r="J27" s="503" t="e">
        <f t="shared" si="0"/>
        <v>#REF!</v>
      </c>
      <c r="K27" s="34"/>
      <c r="L27" s="9"/>
      <c r="M27" s="422">
        <v>2859.3559613132952</v>
      </c>
      <c r="N27" s="445">
        <v>400.90697055048622</v>
      </c>
      <c r="O27" s="447">
        <v>2782.7719584908627</v>
      </c>
      <c r="P27" s="448"/>
      <c r="Q27" s="512" t="e">
        <f t="shared" si="1"/>
        <v>#REF!</v>
      </c>
      <c r="R27" s="423">
        <f t="shared" si="1"/>
        <v>-174.77219485670048</v>
      </c>
      <c r="S27" s="423" t="e">
        <f t="shared" si="3"/>
        <v>#REF!</v>
      </c>
      <c r="AF27" s="415"/>
    </row>
    <row r="28" spans="2:32" ht="15.75" thickBot="1" x14ac:dyDescent="0.3">
      <c r="B28" s="20" t="s">
        <v>54</v>
      </c>
      <c r="C28" s="21">
        <v>3130</v>
      </c>
      <c r="D28" s="24">
        <v>631</v>
      </c>
      <c r="E28" s="426"/>
      <c r="F28" s="508" t="e">
        <f>#REF!</f>
        <v>#REF!</v>
      </c>
      <c r="G28" s="23">
        <v>0</v>
      </c>
      <c r="H28" s="508" t="e">
        <f t="shared" si="2"/>
        <v>#REF!</v>
      </c>
      <c r="I28" s="417">
        <f>G28*(1-0.39)</f>
        <v>0</v>
      </c>
      <c r="J28" s="489" t="e">
        <f t="shared" si="0"/>
        <v>#REF!</v>
      </c>
      <c r="K28" s="451" t="e">
        <f>SUM(J28:J33)</f>
        <v>#REF!</v>
      </c>
      <c r="L28" s="398"/>
      <c r="M28" s="420">
        <v>0</v>
      </c>
      <c r="N28" s="446">
        <v>0</v>
      </c>
      <c r="O28" s="450">
        <v>0</v>
      </c>
      <c r="P28" s="449">
        <v>41469.676985847618</v>
      </c>
      <c r="Q28" s="512" t="e">
        <f t="shared" si="1"/>
        <v>#REF!</v>
      </c>
      <c r="R28" s="423">
        <f t="shared" si="1"/>
        <v>0</v>
      </c>
      <c r="S28" s="423" t="e">
        <f t="shared" si="3"/>
        <v>#REF!</v>
      </c>
    </row>
    <row r="29" spans="2:32" x14ac:dyDescent="0.25">
      <c r="B29" s="2" t="s">
        <v>31</v>
      </c>
      <c r="C29" s="15">
        <v>3131</v>
      </c>
      <c r="D29" s="4">
        <f>3475+418</f>
        <v>3893</v>
      </c>
      <c r="E29" s="377"/>
      <c r="F29" s="507" t="e">
        <f>#REF!</f>
        <v>#REF!</v>
      </c>
      <c r="G29" s="25">
        <v>8972.9534054288051</v>
      </c>
      <c r="H29" s="506" t="e">
        <f t="shared" si="2"/>
        <v>#REF!</v>
      </c>
      <c r="I29" s="416">
        <f>(G29*(1-0.39))-200</f>
        <v>5273.5015773115711</v>
      </c>
      <c r="J29" s="504" t="e">
        <f t="shared" si="0"/>
        <v>#REF!</v>
      </c>
      <c r="K29" s="33"/>
      <c r="L29" s="9"/>
      <c r="M29" s="421">
        <v>861.60403171512996</v>
      </c>
      <c r="N29" s="444">
        <v>5740.1479275655302</v>
      </c>
      <c r="O29" s="447">
        <v>6884.4544774768592</v>
      </c>
      <c r="P29" s="448"/>
      <c r="Q29" s="512" t="e">
        <f t="shared" si="1"/>
        <v>#REF!</v>
      </c>
      <c r="R29" s="423">
        <f t="shared" si="1"/>
        <v>-466.6463502539591</v>
      </c>
      <c r="S29" s="423" t="e">
        <f t="shared" si="3"/>
        <v>#REF!</v>
      </c>
    </row>
    <row r="30" spans="2:32" x14ac:dyDescent="0.25">
      <c r="B30" s="2" t="s">
        <v>32</v>
      </c>
      <c r="C30" s="16">
        <v>3132</v>
      </c>
      <c r="D30" s="4">
        <f>677+566</f>
        <v>1243</v>
      </c>
      <c r="E30" s="377"/>
      <c r="F30" s="507" t="e">
        <f>#REF!</f>
        <v>#REF!</v>
      </c>
      <c r="G30" s="25">
        <v>15308.607449742194</v>
      </c>
      <c r="H30" s="506" t="e">
        <f t="shared" si="2"/>
        <v>#REF!</v>
      </c>
      <c r="I30" s="416">
        <f>(G30*(1-0.39))-2187</f>
        <v>7151.2505443427381</v>
      </c>
      <c r="J30" s="504" t="e">
        <f t="shared" si="0"/>
        <v>#REF!</v>
      </c>
      <c r="K30" s="33"/>
      <c r="L30" s="9"/>
      <c r="M30" s="421">
        <v>1266.1193165738416</v>
      </c>
      <c r="N30" s="444">
        <v>7746.8722768135049</v>
      </c>
      <c r="O30" s="447">
        <v>10131.307638677272</v>
      </c>
      <c r="P30" s="448"/>
      <c r="Q30" s="512" t="e">
        <f t="shared" si="1"/>
        <v>#REF!</v>
      </c>
      <c r="R30" s="423">
        <f t="shared" si="1"/>
        <v>-595.6217324707668</v>
      </c>
      <c r="S30" s="423" t="e">
        <f t="shared" si="3"/>
        <v>#REF!</v>
      </c>
    </row>
    <row r="31" spans="2:32" x14ac:dyDescent="0.25">
      <c r="B31" s="2" t="s">
        <v>33</v>
      </c>
      <c r="C31" s="15">
        <v>3133</v>
      </c>
      <c r="D31" s="4">
        <f>3185+978</f>
        <v>4163</v>
      </c>
      <c r="E31" s="377"/>
      <c r="F31" s="507" t="e">
        <f>#REF!</f>
        <v>#REF!</v>
      </c>
      <c r="G31" s="25">
        <v>9932.5679613224584</v>
      </c>
      <c r="H31" s="506" t="e">
        <f t="shared" si="2"/>
        <v>#REF!</v>
      </c>
      <c r="I31" s="416">
        <f>(G31*(1-0.39))-1500</f>
        <v>4558.8664564066994</v>
      </c>
      <c r="J31" s="504" t="e">
        <f t="shared" si="0"/>
        <v>#REF!</v>
      </c>
      <c r="K31" s="33"/>
      <c r="L31" s="9"/>
      <c r="M31" s="421">
        <v>2066.8778870207361</v>
      </c>
      <c r="N31" s="444">
        <v>5399.0870485706209</v>
      </c>
      <c r="O31" s="447">
        <v>7515.0730359484442</v>
      </c>
      <c r="P31" s="448"/>
      <c r="Q31" s="512" t="e">
        <f t="shared" si="1"/>
        <v>#REF!</v>
      </c>
      <c r="R31" s="423">
        <f t="shared" si="1"/>
        <v>-840.22059216392154</v>
      </c>
      <c r="S31" s="423" t="e">
        <f t="shared" si="3"/>
        <v>#REF!</v>
      </c>
    </row>
    <row r="32" spans="2:32" x14ac:dyDescent="0.25">
      <c r="B32" s="2" t="s">
        <v>34</v>
      </c>
      <c r="C32" s="15">
        <v>3134</v>
      </c>
      <c r="D32" s="4">
        <f>1346</f>
        <v>1346</v>
      </c>
      <c r="E32" s="377">
        <v>-169</v>
      </c>
      <c r="F32" s="507" t="e">
        <f>#REF!</f>
        <v>#REF!</v>
      </c>
      <c r="G32" s="25">
        <v>8949.8175832863271</v>
      </c>
      <c r="H32" s="506" t="e">
        <f t="shared" si="2"/>
        <v>#REF!</v>
      </c>
      <c r="I32" s="416">
        <f>(G32*(1-0.39))</f>
        <v>5459.3887258046598</v>
      </c>
      <c r="J32" s="504" t="e">
        <f t="shared" si="0"/>
        <v>#REF!</v>
      </c>
      <c r="K32" s="33"/>
      <c r="L32" s="9"/>
      <c r="M32" s="421">
        <v>5526.0008461708439</v>
      </c>
      <c r="N32" s="444">
        <v>5565.5253115229989</v>
      </c>
      <c r="O32" s="447">
        <v>11511.736530269969</v>
      </c>
      <c r="P32" s="448"/>
      <c r="Q32" s="512" t="e">
        <f t="shared" si="1"/>
        <v>#REF!</v>
      </c>
      <c r="R32" s="423">
        <f t="shared" si="1"/>
        <v>-106.13658571833912</v>
      </c>
      <c r="S32" s="423" t="e">
        <f t="shared" si="3"/>
        <v>#REF!</v>
      </c>
    </row>
    <row r="33" spans="2:26" ht="15.75" thickBot="1" x14ac:dyDescent="0.3">
      <c r="B33" s="18" t="s">
        <v>35</v>
      </c>
      <c r="C33" s="19">
        <v>3135</v>
      </c>
      <c r="D33" s="4">
        <f>807+603</f>
        <v>1410</v>
      </c>
      <c r="E33" s="377"/>
      <c r="F33" s="507" t="e">
        <f>#REF!</f>
        <v>#REF!</v>
      </c>
      <c r="G33" s="25">
        <v>13983.506247333356</v>
      </c>
      <c r="H33" s="506" t="e">
        <f>F33*(1-0.265)-132.83*V20*(1-0.265)-356.09*V20*(1-0.265)</f>
        <v>#REF!</v>
      </c>
      <c r="I33" s="416">
        <f>(G33*(1-0.39))-1068-1775-470-140</f>
        <v>5076.9388108733474</v>
      </c>
      <c r="J33" s="503" t="e">
        <f>H33+I33+0.2</f>
        <v>#REF!</v>
      </c>
      <c r="K33" s="34"/>
      <c r="L33" s="9"/>
      <c r="M33" s="422">
        <v>1690.742892867388</v>
      </c>
      <c r="N33" s="444">
        <v>4523.7517107210833</v>
      </c>
      <c r="O33" s="447">
        <v>5427.1053034750694</v>
      </c>
      <c r="P33" s="448"/>
      <c r="Q33" s="512" t="e">
        <f t="shared" si="1"/>
        <v>#REF!</v>
      </c>
      <c r="R33" s="423">
        <f t="shared" si="1"/>
        <v>553.18710015226407</v>
      </c>
      <c r="S33" s="423" t="e">
        <f t="shared" si="3"/>
        <v>#REF!</v>
      </c>
      <c r="U33" s="1"/>
    </row>
    <row r="34" spans="2:26" ht="15.75" thickBot="1" x14ac:dyDescent="0.3">
      <c r="B34" s="20" t="s">
        <v>6</v>
      </c>
      <c r="C34" s="21">
        <v>3140</v>
      </c>
      <c r="D34" s="24">
        <v>177</v>
      </c>
      <c r="E34" s="426"/>
      <c r="F34" s="508" t="e">
        <f>#REF!</f>
        <v>#REF!</v>
      </c>
      <c r="G34" s="23">
        <v>0</v>
      </c>
      <c r="H34" s="508" t="e">
        <f t="shared" si="2"/>
        <v>#REF!</v>
      </c>
      <c r="I34" s="417">
        <f t="shared" ref="I34:I45" si="4">G34*(1-0.39)</f>
        <v>0</v>
      </c>
      <c r="J34" s="489" t="e">
        <f t="shared" ref="J34:J59" si="5">H34+I34</f>
        <v>#REF!</v>
      </c>
      <c r="K34" s="451" t="e">
        <f>SUM(J34:J39)</f>
        <v>#REF!</v>
      </c>
      <c r="L34" s="398"/>
      <c r="M34" s="420">
        <v>0</v>
      </c>
      <c r="N34" s="446">
        <v>0</v>
      </c>
      <c r="O34" s="450">
        <v>0</v>
      </c>
      <c r="P34" s="449">
        <v>64126.395725395916</v>
      </c>
      <c r="Q34" s="512" t="e">
        <f t="shared" si="1"/>
        <v>#REF!</v>
      </c>
      <c r="R34" s="423">
        <f t="shared" si="1"/>
        <v>0</v>
      </c>
      <c r="S34" s="423" t="e">
        <f t="shared" si="3"/>
        <v>#REF!</v>
      </c>
      <c r="U34" s="1"/>
    </row>
    <row r="35" spans="2:26" x14ac:dyDescent="0.25">
      <c r="B35" s="2" t="s">
        <v>36</v>
      </c>
      <c r="C35" s="15">
        <v>3141</v>
      </c>
      <c r="D35" s="4">
        <f>753+293</f>
        <v>1046</v>
      </c>
      <c r="E35" s="377"/>
      <c r="F35" s="507" t="e">
        <f>#REF!</f>
        <v>#REF!</v>
      </c>
      <c r="G35" s="13">
        <v>11250.281401722557</v>
      </c>
      <c r="H35" s="506" t="e">
        <f t="shared" si="2"/>
        <v>#REF!</v>
      </c>
      <c r="I35" s="419">
        <f t="shared" si="4"/>
        <v>6862.6716550507599</v>
      </c>
      <c r="J35" s="504" t="e">
        <f t="shared" si="5"/>
        <v>#REF!</v>
      </c>
      <c r="K35" s="33"/>
      <c r="L35" s="9"/>
      <c r="M35" s="421">
        <v>6497.5575808088324</v>
      </c>
      <c r="N35" s="444">
        <v>7184.8333395036134</v>
      </c>
      <c r="O35" s="447">
        <v>12349.246264086742</v>
      </c>
      <c r="P35" s="448"/>
      <c r="Q35" s="512" t="e">
        <f t="shared" si="1"/>
        <v>#REF!</v>
      </c>
      <c r="R35" s="423">
        <f t="shared" si="1"/>
        <v>-322.16168445285348</v>
      </c>
      <c r="S35" s="423" t="e">
        <f t="shared" si="3"/>
        <v>#REF!</v>
      </c>
      <c r="U35" s="1"/>
    </row>
    <row r="36" spans="2:26" x14ac:dyDescent="0.25">
      <c r="B36" s="2" t="s">
        <v>7</v>
      </c>
      <c r="C36" s="15">
        <v>3142</v>
      </c>
      <c r="D36" s="4">
        <v>0</v>
      </c>
      <c r="E36" s="377">
        <v>-115</v>
      </c>
      <c r="F36" s="507" t="e">
        <f>#REF!</f>
        <v>#REF!</v>
      </c>
      <c r="G36" s="13">
        <v>11563.585079025757</v>
      </c>
      <c r="H36" s="506" t="e">
        <f t="shared" si="2"/>
        <v>#REF!</v>
      </c>
      <c r="I36" s="419">
        <f>G36*(1-0.39)-546</f>
        <v>6507.7868982057116</v>
      </c>
      <c r="J36" s="504" t="e">
        <f t="shared" si="5"/>
        <v>#REF!</v>
      </c>
      <c r="K36" s="33"/>
      <c r="L36" s="9"/>
      <c r="M36" s="421">
        <v>9454.650033691607</v>
      </c>
      <c r="N36" s="444">
        <v>5524.1407539339307</v>
      </c>
      <c r="O36" s="447">
        <v>14481.322753982948</v>
      </c>
      <c r="P36" s="448"/>
      <c r="Q36" s="512" t="e">
        <f t="shared" si="1"/>
        <v>#REF!</v>
      </c>
      <c r="R36" s="423">
        <f t="shared" si="1"/>
        <v>983.64614427178094</v>
      </c>
      <c r="S36" s="423" t="e">
        <f t="shared" si="3"/>
        <v>#REF!</v>
      </c>
      <c r="U36" s="1"/>
    </row>
    <row r="37" spans="2:26" x14ac:dyDescent="0.25">
      <c r="B37" s="2" t="s">
        <v>37</v>
      </c>
      <c r="C37" s="15">
        <v>3143</v>
      </c>
      <c r="D37" s="4">
        <f>3559+329</f>
        <v>3888</v>
      </c>
      <c r="E37" s="377"/>
      <c r="F37" s="507" t="e">
        <f>#REF!</f>
        <v>#REF!</v>
      </c>
      <c r="G37" s="13">
        <v>9597.8050347224689</v>
      </c>
      <c r="H37" s="506" t="e">
        <f t="shared" si="2"/>
        <v>#REF!</v>
      </c>
      <c r="I37" s="416">
        <f t="shared" si="4"/>
        <v>5854.6610711807061</v>
      </c>
      <c r="J37" s="504" t="e">
        <f t="shared" si="5"/>
        <v>#REF!</v>
      </c>
      <c r="K37" s="33"/>
      <c r="L37" s="9"/>
      <c r="M37" s="421">
        <v>13079.1764083299</v>
      </c>
      <c r="N37" s="444">
        <v>5872.5984965602311</v>
      </c>
      <c r="O37" s="447">
        <v>16711.311162587972</v>
      </c>
      <c r="P37" s="448"/>
      <c r="Q37" s="512" t="e">
        <f t="shared" si="1"/>
        <v>#REF!</v>
      </c>
      <c r="R37" s="423">
        <f t="shared" si="1"/>
        <v>-17.937425379524939</v>
      </c>
      <c r="S37" s="423" t="e">
        <f t="shared" si="3"/>
        <v>#REF!</v>
      </c>
      <c r="U37" s="1"/>
    </row>
    <row r="38" spans="2:26" ht="15.75" thickBot="1" x14ac:dyDescent="0.3">
      <c r="B38" s="2" t="s">
        <v>38</v>
      </c>
      <c r="C38" s="15">
        <v>3144</v>
      </c>
      <c r="D38" s="4">
        <v>116</v>
      </c>
      <c r="E38" s="377">
        <v>-6</v>
      </c>
      <c r="F38" s="507" t="e">
        <f>#REF!</f>
        <v>#REF!</v>
      </c>
      <c r="G38" s="13">
        <v>8971.2815526137401</v>
      </c>
      <c r="H38" s="506" t="e">
        <f t="shared" si="2"/>
        <v>#REF!</v>
      </c>
      <c r="I38" s="416">
        <f t="shared" si="4"/>
        <v>5472.4817470943817</v>
      </c>
      <c r="J38" s="504" t="e">
        <f t="shared" si="5"/>
        <v>#REF!</v>
      </c>
      <c r="K38" s="33"/>
      <c r="L38" s="9"/>
      <c r="M38" s="421">
        <v>3097.1253170530349</v>
      </c>
      <c r="N38" s="444">
        <v>5811.6035359000662</v>
      </c>
      <c r="O38" s="447">
        <v>8116.6421481699945</v>
      </c>
      <c r="P38" s="448"/>
      <c r="Q38" s="512" t="e">
        <f t="shared" si="1"/>
        <v>#REF!</v>
      </c>
      <c r="R38" s="423">
        <f t="shared" si="1"/>
        <v>-339.12178880568445</v>
      </c>
      <c r="S38" s="423" t="e">
        <f t="shared" si="3"/>
        <v>#REF!</v>
      </c>
    </row>
    <row r="39" spans="2:26" ht="15.75" thickBot="1" x14ac:dyDescent="0.3">
      <c r="B39" s="18" t="s">
        <v>39</v>
      </c>
      <c r="C39" s="19">
        <v>3145</v>
      </c>
      <c r="D39" s="4">
        <f>4178+1075</f>
        <v>5253</v>
      </c>
      <c r="E39" s="377"/>
      <c r="F39" s="507" t="e">
        <f>#REF!</f>
        <v>#REF!</v>
      </c>
      <c r="G39" s="13">
        <v>12566.816721782914</v>
      </c>
      <c r="H39" s="506" t="e">
        <f t="shared" si="2"/>
        <v>#REF!</v>
      </c>
      <c r="I39" s="416">
        <f t="shared" si="4"/>
        <v>7665.758200287577</v>
      </c>
      <c r="J39" s="503" t="e">
        <f t="shared" si="5"/>
        <v>#REF!</v>
      </c>
      <c r="K39" s="34"/>
      <c r="L39" s="9"/>
      <c r="M39" s="422">
        <v>6146.0379348674032</v>
      </c>
      <c r="N39" s="445">
        <v>7437.385335875003</v>
      </c>
      <c r="O39" s="447">
        <v>12467.873396568255</v>
      </c>
      <c r="P39" s="448"/>
      <c r="Q39" s="512" t="e">
        <f t="shared" si="1"/>
        <v>#REF!</v>
      </c>
      <c r="R39" s="423">
        <f t="shared" si="1"/>
        <v>228.37286441257402</v>
      </c>
      <c r="S39" s="423" t="e">
        <f t="shared" si="3"/>
        <v>#REF!</v>
      </c>
      <c r="U39" s="519" t="s">
        <v>140</v>
      </c>
      <c r="V39" s="520"/>
      <c r="W39" s="521"/>
      <c r="X39" s="514"/>
      <c r="Y39" s="514"/>
      <c r="Z39" s="522"/>
    </row>
    <row r="40" spans="2:26" ht="15.75" thickBot="1" x14ac:dyDescent="0.3">
      <c r="B40" s="20" t="s">
        <v>53</v>
      </c>
      <c r="C40" s="21">
        <v>3150</v>
      </c>
      <c r="D40" s="24">
        <v>0</v>
      </c>
      <c r="E40" s="426"/>
      <c r="F40" s="508" t="e">
        <f>#REF!</f>
        <v>#REF!</v>
      </c>
      <c r="G40" s="23">
        <v>0</v>
      </c>
      <c r="H40" s="508" t="e">
        <f t="shared" si="2"/>
        <v>#REF!</v>
      </c>
      <c r="I40" s="417">
        <f t="shared" si="4"/>
        <v>0</v>
      </c>
      <c r="J40" s="489" t="e">
        <f t="shared" si="5"/>
        <v>#REF!</v>
      </c>
      <c r="K40" s="451" t="e">
        <f>SUM(J40:J44)</f>
        <v>#REF!</v>
      </c>
      <c r="L40" s="398"/>
      <c r="M40" s="420">
        <v>0</v>
      </c>
      <c r="N40" s="446">
        <v>0</v>
      </c>
      <c r="O40" s="450">
        <v>0</v>
      </c>
      <c r="P40" s="449">
        <v>37334.471734964376</v>
      </c>
      <c r="Q40" s="512" t="e">
        <f t="shared" si="1"/>
        <v>#REF!</v>
      </c>
      <c r="R40" s="423">
        <f t="shared" si="1"/>
        <v>0</v>
      </c>
      <c r="S40" s="423" t="e">
        <f t="shared" si="3"/>
        <v>#REF!</v>
      </c>
      <c r="U40" s="523"/>
      <c r="V40" s="490">
        <v>2015</v>
      </c>
      <c r="W40" s="509">
        <v>2016</v>
      </c>
      <c r="X40" s="509" t="s">
        <v>141</v>
      </c>
      <c r="Y40" s="509" t="s">
        <v>144</v>
      </c>
      <c r="Z40" s="31" t="s">
        <v>143</v>
      </c>
    </row>
    <row r="41" spans="2:26" x14ac:dyDescent="0.25">
      <c r="B41" s="2" t="s">
        <v>40</v>
      </c>
      <c r="C41" s="15">
        <v>3151</v>
      </c>
      <c r="D41" s="4">
        <f>1546+35</f>
        <v>1581</v>
      </c>
      <c r="E41" s="377"/>
      <c r="F41" s="507" t="e">
        <f>#REF!</f>
        <v>#REF!</v>
      </c>
      <c r="G41" s="13">
        <v>21870.337275380192</v>
      </c>
      <c r="H41" s="506" t="e">
        <f>F41*(1-0.265)+Y41</f>
        <v>#REF!</v>
      </c>
      <c r="I41" s="416">
        <f t="shared" si="4"/>
        <v>13340.905737981917</v>
      </c>
      <c r="J41" s="504" t="e">
        <f t="shared" si="5"/>
        <v>#REF!</v>
      </c>
      <c r="K41" s="33"/>
      <c r="L41" s="9"/>
      <c r="M41" s="421">
        <v>1901.2252688782412</v>
      </c>
      <c r="N41" s="444">
        <v>12993.164562393344</v>
      </c>
      <c r="O41" s="447">
        <v>15684.828703419165</v>
      </c>
      <c r="P41" s="448"/>
      <c r="Q41" s="512" t="e">
        <f t="shared" si="1"/>
        <v>#REF!</v>
      </c>
      <c r="R41" s="423">
        <f t="shared" si="1"/>
        <v>347.74117558857324</v>
      </c>
      <c r="S41" s="423" t="e">
        <f t="shared" si="3"/>
        <v>#REF!</v>
      </c>
      <c r="U41" s="523" t="s">
        <v>40</v>
      </c>
      <c r="V41" s="490">
        <f>1587-870</f>
        <v>717</v>
      </c>
      <c r="W41" s="509">
        <f>1285</f>
        <v>1285</v>
      </c>
      <c r="X41" s="509">
        <f>W41-V41</f>
        <v>568</v>
      </c>
      <c r="Y41" s="510">
        <f>X41/X45*Y45</f>
        <v>576.15311004784689</v>
      </c>
      <c r="Z41" s="31">
        <v>870</v>
      </c>
    </row>
    <row r="42" spans="2:26" x14ac:dyDescent="0.25">
      <c r="B42" s="2" t="s">
        <v>41</v>
      </c>
      <c r="C42" s="15">
        <v>3152</v>
      </c>
      <c r="D42" s="4">
        <f>2103+5</f>
        <v>2108</v>
      </c>
      <c r="E42" s="377"/>
      <c r="F42" s="507" t="e">
        <f>#REF!</f>
        <v>#REF!</v>
      </c>
      <c r="G42" s="13">
        <v>6716.8908829455841</v>
      </c>
      <c r="H42" s="506" t="e">
        <f>F42*(1-0.265)</f>
        <v>#REF!</v>
      </c>
      <c r="I42" s="416">
        <f t="shared" si="4"/>
        <v>4097.3034385968058</v>
      </c>
      <c r="J42" s="504" t="e">
        <f t="shared" si="5"/>
        <v>#REF!</v>
      </c>
      <c r="K42" s="33"/>
      <c r="L42" s="9"/>
      <c r="M42" s="421">
        <v>2323.265048608841</v>
      </c>
      <c r="N42" s="444">
        <v>5291.9405604617004</v>
      </c>
      <c r="O42" s="447">
        <v>8235.6354777431225</v>
      </c>
      <c r="P42" s="448"/>
      <c r="Q42" s="512" t="e">
        <f t="shared" si="1"/>
        <v>#REF!</v>
      </c>
      <c r="R42" s="423">
        <f t="shared" si="1"/>
        <v>-1194.6371218648947</v>
      </c>
      <c r="S42" s="423" t="e">
        <f t="shared" si="3"/>
        <v>#REF!</v>
      </c>
      <c r="U42" s="523"/>
      <c r="V42" s="509"/>
      <c r="W42" s="490"/>
      <c r="X42" s="509"/>
      <c r="Y42" s="509"/>
      <c r="Z42" s="31"/>
    </row>
    <row r="43" spans="2:26" x14ac:dyDescent="0.25">
      <c r="B43" s="2" t="s">
        <v>8</v>
      </c>
      <c r="C43" s="15">
        <v>3153</v>
      </c>
      <c r="D43" s="4">
        <v>5179</v>
      </c>
      <c r="E43" s="377"/>
      <c r="F43" s="507" t="e">
        <f>#REF!</f>
        <v>#REF!</v>
      </c>
      <c r="G43" s="13">
        <v>6735.3084729688871</v>
      </c>
      <c r="H43" s="506" t="e">
        <f>F43*(1-0.265)+Y43</f>
        <v>#REF!</v>
      </c>
      <c r="I43" s="416">
        <f t="shared" si="4"/>
        <v>4108.5381685110215</v>
      </c>
      <c r="J43" s="504" t="e">
        <f t="shared" si="5"/>
        <v>#REF!</v>
      </c>
      <c r="K43" s="33"/>
      <c r="L43" s="9"/>
      <c r="M43" s="421">
        <v>2080.7673119924257</v>
      </c>
      <c r="N43" s="444">
        <v>4009.67849833011</v>
      </c>
      <c r="O43" s="447">
        <v>6555.9489508674978</v>
      </c>
      <c r="P43" s="448"/>
      <c r="Q43" s="512" t="e">
        <f t="shared" si="1"/>
        <v>#REF!</v>
      </c>
      <c r="R43" s="423">
        <f t="shared" si="1"/>
        <v>98.859670180911507</v>
      </c>
      <c r="S43" s="423" t="e">
        <f t="shared" si="3"/>
        <v>#REF!</v>
      </c>
      <c r="U43" s="523" t="s">
        <v>8</v>
      </c>
      <c r="V43" s="490">
        <f>2242-1229</f>
        <v>1013</v>
      </c>
      <c r="W43" s="509">
        <v>1520</v>
      </c>
      <c r="X43" s="509">
        <f t="shared" ref="X43:X44" si="6">W43-V43</f>
        <v>507</v>
      </c>
      <c r="Y43" s="510">
        <f>X43/X45*Y45</f>
        <v>514.27751196172244</v>
      </c>
      <c r="Z43" s="31">
        <v>1229</v>
      </c>
    </row>
    <row r="44" spans="2:26" ht="15.75" thickBot="1" x14ac:dyDescent="0.3">
      <c r="B44" s="368" t="s">
        <v>42</v>
      </c>
      <c r="C44" s="369">
        <v>3154</v>
      </c>
      <c r="D44" s="4">
        <v>455</v>
      </c>
      <c r="E44" s="377">
        <v>-145</v>
      </c>
      <c r="F44" s="507" t="e">
        <f>#REF!</f>
        <v>#REF!</v>
      </c>
      <c r="G44" s="13">
        <v>12297.327504879631</v>
      </c>
      <c r="H44" s="506" t="e">
        <f>F44*(1-0.265)+Y44</f>
        <v>#REF!</v>
      </c>
      <c r="I44" s="418">
        <f t="shared" si="4"/>
        <v>7501.3697779765753</v>
      </c>
      <c r="J44" s="502" t="e">
        <f t="shared" si="5"/>
        <v>#REF!</v>
      </c>
      <c r="K44" s="34"/>
      <c r="L44" s="9"/>
      <c r="M44" s="422">
        <v>476.15187412357591</v>
      </c>
      <c r="N44" s="445">
        <v>6813.972502163072</v>
      </c>
      <c r="O44" s="447">
        <v>6858.0586029345905</v>
      </c>
      <c r="P44" s="448"/>
      <c r="Q44" s="512" t="e">
        <f t="shared" si="1"/>
        <v>#REF!</v>
      </c>
      <c r="R44" s="423">
        <f t="shared" si="1"/>
        <v>687.39727581350326</v>
      </c>
      <c r="S44" s="423" t="e">
        <f t="shared" si="3"/>
        <v>#REF!</v>
      </c>
      <c r="U44" s="523" t="s">
        <v>42</v>
      </c>
      <c r="V44" s="490">
        <f>244-137</f>
        <v>107</v>
      </c>
      <c r="W44" s="509">
        <v>286</v>
      </c>
      <c r="X44" s="509">
        <f t="shared" si="6"/>
        <v>179</v>
      </c>
      <c r="Y44" s="510">
        <f>X44/X45*Y45</f>
        <v>181.56937799043064</v>
      </c>
      <c r="Z44" s="31">
        <v>137</v>
      </c>
    </row>
    <row r="45" spans="2:26" ht="15.75" thickBot="1" x14ac:dyDescent="0.3">
      <c r="B45" s="20" t="s">
        <v>10</v>
      </c>
      <c r="C45" s="21">
        <v>3137</v>
      </c>
      <c r="D45" s="24">
        <v>607</v>
      </c>
      <c r="E45" s="425"/>
      <c r="F45" s="508" t="e">
        <f>#REF!</f>
        <v>#REF!</v>
      </c>
      <c r="G45" s="427">
        <v>0</v>
      </c>
      <c r="H45" s="508" t="e">
        <f t="shared" ref="H45:H58" si="7">F45*(1-0.265)</f>
        <v>#REF!</v>
      </c>
      <c r="I45" s="417">
        <f t="shared" si="4"/>
        <v>0</v>
      </c>
      <c r="J45" s="489" t="e">
        <f t="shared" si="5"/>
        <v>#REF!</v>
      </c>
      <c r="K45" s="451" t="e">
        <f>SUM(J45:J51)</f>
        <v>#REF!</v>
      </c>
      <c r="L45" s="398"/>
      <c r="M45" s="420">
        <v>61.363214001610871</v>
      </c>
      <c r="N45" s="446">
        <v>0</v>
      </c>
      <c r="O45" s="450">
        <v>0</v>
      </c>
      <c r="P45" s="449">
        <v>28426.183714082264</v>
      </c>
      <c r="Q45" s="512" t="e">
        <f t="shared" si="1"/>
        <v>#REF!</v>
      </c>
      <c r="R45" s="423">
        <f t="shared" si="1"/>
        <v>0</v>
      </c>
      <c r="S45" s="423" t="e">
        <f>Q45+R45</f>
        <v>#REF!</v>
      </c>
      <c r="U45" s="523"/>
      <c r="V45" s="490"/>
      <c r="W45" s="509"/>
      <c r="X45" s="509">
        <f>SUM(X41:X44)</f>
        <v>1254</v>
      </c>
      <c r="Y45" s="510">
        <f>188275-187003</f>
        <v>1272</v>
      </c>
      <c r="Z45" s="31">
        <f>SUM(Z41:Z44)</f>
        <v>2236</v>
      </c>
    </row>
    <row r="46" spans="2:26" ht="15.75" thickBot="1" x14ac:dyDescent="0.3">
      <c r="B46" s="2" t="s">
        <v>149</v>
      </c>
      <c r="C46" s="15">
        <v>3701</v>
      </c>
      <c r="D46" s="4">
        <f>20+223</f>
        <v>243</v>
      </c>
      <c r="E46" s="377"/>
      <c r="F46" s="507" t="e">
        <f>#REF!</f>
        <v>#REF!</v>
      </c>
      <c r="G46" s="13">
        <v>0</v>
      </c>
      <c r="H46" s="506" t="e">
        <f>F46*(1-0.265)+132.83*V20*(1-0.265)</f>
        <v>#REF!</v>
      </c>
      <c r="I46" s="416">
        <v>1068</v>
      </c>
      <c r="J46" s="504" t="e">
        <f t="shared" si="5"/>
        <v>#REF!</v>
      </c>
      <c r="K46" s="33"/>
      <c r="L46" s="9"/>
      <c r="M46" s="421">
        <v>2384.7565833162662</v>
      </c>
      <c r="N46" s="444">
        <v>1068</v>
      </c>
      <c r="O46" s="447">
        <v>3831.5406702220525</v>
      </c>
      <c r="P46" s="448"/>
      <c r="Q46" s="512" t="e">
        <f t="shared" si="1"/>
        <v>#REF!</v>
      </c>
      <c r="R46" s="423">
        <f t="shared" si="1"/>
        <v>0</v>
      </c>
      <c r="S46" s="423" t="e">
        <f>Q46+R46</f>
        <v>#REF!</v>
      </c>
      <c r="U46" s="524"/>
      <c r="V46" s="525" t="s">
        <v>142</v>
      </c>
      <c r="W46" s="525"/>
      <c r="X46" s="525"/>
      <c r="Y46" s="526">
        <v>5.0000000000000001E-3</v>
      </c>
      <c r="Z46" s="32"/>
    </row>
    <row r="47" spans="2:26" x14ac:dyDescent="0.25">
      <c r="B47" s="2" t="s">
        <v>148</v>
      </c>
      <c r="C47" s="15">
        <v>3702</v>
      </c>
      <c r="D47" s="4">
        <f>2074+2</f>
        <v>2076</v>
      </c>
      <c r="E47" s="377"/>
      <c r="F47" s="507" t="e">
        <f>#REF!</f>
        <v>#REF!</v>
      </c>
      <c r="G47" s="13">
        <v>0</v>
      </c>
      <c r="H47" s="506" t="e">
        <f t="shared" si="7"/>
        <v>#REF!</v>
      </c>
      <c r="I47" s="419">
        <v>2000</v>
      </c>
      <c r="J47" s="504" t="e">
        <f t="shared" si="5"/>
        <v>#REF!</v>
      </c>
      <c r="K47" s="33"/>
      <c r="L47" s="9"/>
      <c r="M47" s="421">
        <v>4265.3798709229022</v>
      </c>
      <c r="N47" s="444">
        <v>2000</v>
      </c>
      <c r="O47" s="447">
        <v>6275.5902733890662</v>
      </c>
      <c r="P47" s="448"/>
      <c r="Q47" s="512" t="e">
        <f t="shared" si="1"/>
        <v>#REF!</v>
      </c>
      <c r="R47" s="423">
        <f t="shared" si="1"/>
        <v>0</v>
      </c>
      <c r="S47" s="423" t="e">
        <f t="shared" si="3"/>
        <v>#REF!</v>
      </c>
      <c r="W47" s="61"/>
    </row>
    <row r="48" spans="2:26" x14ac:dyDescent="0.25">
      <c r="B48" s="2" t="s">
        <v>25</v>
      </c>
      <c r="C48" s="15">
        <v>3703</v>
      </c>
      <c r="D48" s="4">
        <v>65</v>
      </c>
      <c r="E48" s="377"/>
      <c r="F48" s="507" t="e">
        <f>#REF!</f>
        <v>#REF!</v>
      </c>
      <c r="G48" s="13">
        <v>0</v>
      </c>
      <c r="H48" s="506" t="e">
        <f t="shared" si="7"/>
        <v>#REF!</v>
      </c>
      <c r="I48" s="419">
        <v>546</v>
      </c>
      <c r="J48" s="504" t="e">
        <f t="shared" si="5"/>
        <v>#REF!</v>
      </c>
      <c r="K48" s="33"/>
      <c r="L48" s="9"/>
      <c r="M48" s="421">
        <v>5494.1053833514043</v>
      </c>
      <c r="N48" s="444">
        <v>546</v>
      </c>
      <c r="O48" s="447">
        <v>5834.6783468201438</v>
      </c>
      <c r="P48" s="448"/>
      <c r="Q48" s="512" t="e">
        <f t="shared" si="1"/>
        <v>#REF!</v>
      </c>
      <c r="R48" s="423">
        <f t="shared" si="1"/>
        <v>0</v>
      </c>
      <c r="S48" s="423" t="e">
        <f t="shared" si="3"/>
        <v>#REF!</v>
      </c>
      <c r="W48" s="61"/>
    </row>
    <row r="49" spans="2:23" x14ac:dyDescent="0.25">
      <c r="B49" s="2" t="s">
        <v>150</v>
      </c>
      <c r="C49" s="15">
        <v>3704</v>
      </c>
      <c r="D49" s="4">
        <f>541+1357</f>
        <v>1898</v>
      </c>
      <c r="E49" s="377"/>
      <c r="F49" s="507" t="e">
        <f>#REF!</f>
        <v>#REF!</v>
      </c>
      <c r="G49" s="13">
        <v>0</v>
      </c>
      <c r="H49" s="506" t="e">
        <f>F49*(1-0.265)+356.09*V20*(1-0.265)</f>
        <v>#REF!</v>
      </c>
      <c r="I49" s="416">
        <v>1775</v>
      </c>
      <c r="J49" s="504" t="e">
        <f t="shared" si="5"/>
        <v>#REF!</v>
      </c>
      <c r="K49" s="33"/>
      <c r="L49" s="9"/>
      <c r="M49" s="421">
        <v>4247.1288031672029</v>
      </c>
      <c r="N49" s="444">
        <v>1775</v>
      </c>
      <c r="O49" s="447">
        <v>5523.0853092256493</v>
      </c>
      <c r="P49" s="448"/>
      <c r="Q49" s="512" t="e">
        <f t="shared" si="1"/>
        <v>#REF!</v>
      </c>
      <c r="R49" s="423">
        <f t="shared" si="1"/>
        <v>0</v>
      </c>
      <c r="S49" s="423" t="e">
        <f t="shared" si="3"/>
        <v>#REF!</v>
      </c>
      <c r="W49" s="61"/>
    </row>
    <row r="50" spans="2:23" x14ac:dyDescent="0.25">
      <c r="B50" s="368" t="s">
        <v>151</v>
      </c>
      <c r="C50" s="369">
        <v>3705</v>
      </c>
      <c r="D50" s="4">
        <v>1347</v>
      </c>
      <c r="E50" s="377"/>
      <c r="F50" s="507" t="e">
        <f>#REF!</f>
        <v>#REF!</v>
      </c>
      <c r="G50" s="13">
        <v>5219</v>
      </c>
      <c r="H50" s="506" t="e">
        <f t="shared" si="7"/>
        <v>#REF!</v>
      </c>
      <c r="I50" s="418">
        <f>(G50*(1-0.39))+140</f>
        <v>3323.59</v>
      </c>
      <c r="J50" s="502" t="e">
        <f t="shared" si="5"/>
        <v>#REF!</v>
      </c>
      <c r="K50" s="33"/>
      <c r="L50" s="9"/>
      <c r="M50" s="421">
        <v>7919.7880737953637</v>
      </c>
      <c r="N50" s="444">
        <v>2281.1632645638902</v>
      </c>
      <c r="O50" s="447">
        <v>6012.4282232498144</v>
      </c>
      <c r="P50" s="448"/>
      <c r="Q50" s="512" t="e">
        <f t="shared" si="1"/>
        <v>#REF!</v>
      </c>
      <c r="R50" s="423">
        <f t="shared" si="1"/>
        <v>1042.42673543611</v>
      </c>
      <c r="S50" s="423" t="e">
        <f t="shared" si="3"/>
        <v>#REF!</v>
      </c>
    </row>
    <row r="51" spans="2:23" ht="15.75" thickBot="1" x14ac:dyDescent="0.3">
      <c r="B51" s="18" t="s">
        <v>127</v>
      </c>
      <c r="C51" s="19">
        <v>3706</v>
      </c>
      <c r="D51" s="4">
        <f>51+11</f>
        <v>62</v>
      </c>
      <c r="E51" s="377"/>
      <c r="F51" s="507" t="e">
        <f>#REF!</f>
        <v>#REF!</v>
      </c>
      <c r="G51" s="487">
        <v>0</v>
      </c>
      <c r="H51" s="506" t="e">
        <f t="shared" si="7"/>
        <v>#REF!</v>
      </c>
      <c r="I51" s="418">
        <v>470</v>
      </c>
      <c r="J51" s="502" t="e">
        <f t="shared" si="5"/>
        <v>#REF!</v>
      </c>
      <c r="K51" s="33"/>
      <c r="L51" s="9"/>
      <c r="M51" s="422">
        <v>900.60499212311515</v>
      </c>
      <c r="N51" s="445">
        <v>470</v>
      </c>
      <c r="O51" s="447">
        <v>948.86089117553865</v>
      </c>
      <c r="P51" s="448"/>
      <c r="Q51" s="512" t="e">
        <f t="shared" si="1"/>
        <v>#REF!</v>
      </c>
      <c r="R51" s="423">
        <f t="shared" si="1"/>
        <v>0</v>
      </c>
      <c r="S51" s="423" t="e">
        <f t="shared" si="3"/>
        <v>#REF!</v>
      </c>
    </row>
    <row r="52" spans="2:23" ht="15.75" thickBot="1" x14ac:dyDescent="0.3">
      <c r="B52" s="20" t="s">
        <v>15</v>
      </c>
      <c r="C52" s="21">
        <v>3720</v>
      </c>
      <c r="D52" s="24">
        <f>598+1196</f>
        <v>1794</v>
      </c>
      <c r="E52" s="425"/>
      <c r="F52" s="427" t="e">
        <f>#REF!</f>
        <v>#REF!</v>
      </c>
      <c r="G52" s="427">
        <v>0</v>
      </c>
      <c r="H52" s="508" t="e">
        <f t="shared" si="7"/>
        <v>#REF!</v>
      </c>
      <c r="I52" s="417">
        <f>G52*(1-0.39)</f>
        <v>0</v>
      </c>
      <c r="J52" s="489" t="e">
        <f t="shared" si="5"/>
        <v>#REF!</v>
      </c>
      <c r="K52" s="451" t="e">
        <f>SUM(J52:J59)</f>
        <v>#REF!</v>
      </c>
      <c r="L52" s="398"/>
      <c r="M52" s="420">
        <v>38.726682017282812</v>
      </c>
      <c r="N52" s="446">
        <v>0</v>
      </c>
      <c r="O52" s="450">
        <v>0</v>
      </c>
      <c r="P52" s="449">
        <v>57479.712282494183</v>
      </c>
      <c r="Q52" s="512" t="e">
        <f t="shared" si="1"/>
        <v>#REF!</v>
      </c>
      <c r="R52" s="423">
        <f t="shared" si="1"/>
        <v>0</v>
      </c>
      <c r="S52" s="423" t="e">
        <f t="shared" si="3"/>
        <v>#REF!</v>
      </c>
    </row>
    <row r="53" spans="2:23" x14ac:dyDescent="0.25">
      <c r="B53" s="2" t="s">
        <v>147</v>
      </c>
      <c r="C53" s="15">
        <v>3721</v>
      </c>
      <c r="D53" s="4">
        <v>0</v>
      </c>
      <c r="E53" s="377"/>
      <c r="F53" s="507" t="e">
        <f>#REF!</f>
        <v>#REF!</v>
      </c>
      <c r="G53" s="13">
        <v>0</v>
      </c>
      <c r="H53" s="506" t="e">
        <f>SUM(F53+F54+F57)*(1-0.265)*0.15</f>
        <v>#REF!</v>
      </c>
      <c r="I53" s="419">
        <f t="shared" ref="I53" si="8">(G53*(1-0.39))</f>
        <v>0</v>
      </c>
      <c r="J53" s="504" t="e">
        <f t="shared" si="5"/>
        <v>#REF!</v>
      </c>
      <c r="K53" s="33"/>
      <c r="L53" s="9"/>
      <c r="M53" s="421">
        <v>5687.4368148365547</v>
      </c>
      <c r="N53" s="444">
        <v>0</v>
      </c>
      <c r="O53" s="447">
        <v>6964.9295567123818</v>
      </c>
      <c r="P53" s="448"/>
      <c r="Q53" s="512" t="e">
        <f t="shared" si="1"/>
        <v>#REF!</v>
      </c>
      <c r="R53" s="423">
        <f t="shared" si="1"/>
        <v>0</v>
      </c>
      <c r="S53" s="423" t="e">
        <f t="shared" si="3"/>
        <v>#REF!</v>
      </c>
    </row>
    <row r="54" spans="2:23" x14ac:dyDescent="0.25">
      <c r="B54" s="2" t="s">
        <v>17</v>
      </c>
      <c r="C54" s="15">
        <v>3722</v>
      </c>
      <c r="D54" s="4">
        <f>171+2501</f>
        <v>2672</v>
      </c>
      <c r="E54" s="377"/>
      <c r="F54" s="507" t="e">
        <f>#REF!</f>
        <v>#REF!</v>
      </c>
      <c r="G54" s="13">
        <v>0</v>
      </c>
      <c r="H54" s="506" t="e">
        <f>SUM(F53+F54+F57)*(1-0.265)*0.462</f>
        <v>#REF!</v>
      </c>
      <c r="I54" s="419">
        <f>2187*0.54</f>
        <v>1180.98</v>
      </c>
      <c r="J54" s="504" t="e">
        <f t="shared" si="5"/>
        <v>#REF!</v>
      </c>
      <c r="K54" s="33"/>
      <c r="L54" s="9"/>
      <c r="M54" s="421">
        <v>17517.30538969659</v>
      </c>
      <c r="N54" s="444">
        <v>1180.98</v>
      </c>
      <c r="O54" s="447">
        <v>17360.301252376215</v>
      </c>
      <c r="P54" s="448"/>
      <c r="Q54" s="512" t="e">
        <f t="shared" si="1"/>
        <v>#REF!</v>
      </c>
      <c r="R54" s="423">
        <f t="shared" si="1"/>
        <v>0</v>
      </c>
      <c r="S54" s="423" t="e">
        <f t="shared" si="3"/>
        <v>#REF!</v>
      </c>
    </row>
    <row r="55" spans="2:23" x14ac:dyDescent="0.25">
      <c r="B55" s="2" t="s">
        <v>18</v>
      </c>
      <c r="C55" s="15">
        <v>3723</v>
      </c>
      <c r="D55" s="4">
        <f>3092+1230</f>
        <v>4322</v>
      </c>
      <c r="E55" s="377"/>
      <c r="F55" s="507" t="e">
        <f>#REF!</f>
        <v>#REF!</v>
      </c>
      <c r="G55" s="13">
        <v>0</v>
      </c>
      <c r="H55" s="506" t="e">
        <f t="shared" si="7"/>
        <v>#REF!</v>
      </c>
      <c r="I55" s="419">
        <v>200</v>
      </c>
      <c r="J55" s="504" t="e">
        <f t="shared" si="5"/>
        <v>#REF!</v>
      </c>
      <c r="K55" s="33"/>
      <c r="L55" s="9"/>
      <c r="M55" s="421">
        <v>8607.9958152827367</v>
      </c>
      <c r="N55" s="444">
        <v>200</v>
      </c>
      <c r="O55" s="447">
        <v>7098.246168129529</v>
      </c>
      <c r="P55" s="448"/>
      <c r="Q55" s="512" t="e">
        <f t="shared" si="1"/>
        <v>#REF!</v>
      </c>
      <c r="R55" s="423">
        <f t="shared" si="1"/>
        <v>0</v>
      </c>
      <c r="S55" s="423" t="e">
        <f t="shared" si="3"/>
        <v>#REF!</v>
      </c>
    </row>
    <row r="56" spans="2:23" x14ac:dyDescent="0.25">
      <c r="B56" s="2" t="s">
        <v>19</v>
      </c>
      <c r="C56" s="15">
        <v>3724</v>
      </c>
      <c r="D56" s="4">
        <f>9666+129</f>
        <v>9795</v>
      </c>
      <c r="E56" s="377">
        <v>0</v>
      </c>
      <c r="F56" s="507" t="e">
        <f>#REF!</f>
        <v>#REF!</v>
      </c>
      <c r="G56" s="13">
        <v>0</v>
      </c>
      <c r="H56" s="506" t="e">
        <f t="shared" si="7"/>
        <v>#REF!</v>
      </c>
      <c r="I56" s="419">
        <f>543</f>
        <v>543</v>
      </c>
      <c r="J56" s="504" t="e">
        <f t="shared" si="5"/>
        <v>#REF!</v>
      </c>
      <c r="K56" s="33"/>
      <c r="L56" s="9"/>
      <c r="M56" s="421">
        <v>9169.2297885199987</v>
      </c>
      <c r="N56" s="444">
        <v>543</v>
      </c>
      <c r="O56" s="447">
        <v>11952.130803190717</v>
      </c>
      <c r="P56" s="448"/>
      <c r="Q56" s="512" t="e">
        <f t="shared" si="1"/>
        <v>#REF!</v>
      </c>
      <c r="R56" s="423">
        <f t="shared" si="1"/>
        <v>0</v>
      </c>
      <c r="S56" s="423" t="e">
        <f t="shared" si="3"/>
        <v>#REF!</v>
      </c>
    </row>
    <row r="57" spans="2:23" x14ac:dyDescent="0.25">
      <c r="B57" s="2" t="s">
        <v>145</v>
      </c>
      <c r="C57" s="15">
        <v>3725</v>
      </c>
      <c r="D57" s="4">
        <v>1238</v>
      </c>
      <c r="E57" s="377">
        <v>0</v>
      </c>
      <c r="F57" s="507" t="e">
        <f>#REF!</f>
        <v>#REF!</v>
      </c>
      <c r="G57" s="13">
        <v>0</v>
      </c>
      <c r="H57" s="506" t="e">
        <f>SUM(F53+F54+F57)*(1-0.26)*0.153</f>
        <v>#REF!</v>
      </c>
      <c r="I57" s="419">
        <f>2187*0.15</f>
        <v>328.05</v>
      </c>
      <c r="J57" s="504" t="e">
        <f t="shared" si="5"/>
        <v>#REF!</v>
      </c>
      <c r="K57" s="33"/>
      <c r="L57" s="9"/>
      <c r="M57" s="421">
        <v>5840.6493984199069</v>
      </c>
      <c r="N57" s="444">
        <v>328.05</v>
      </c>
      <c r="O57" s="447">
        <v>8107.2789491618014</v>
      </c>
      <c r="P57" s="448"/>
      <c r="Q57" s="512" t="e">
        <f t="shared" si="1"/>
        <v>#REF!</v>
      </c>
      <c r="R57" s="423">
        <f t="shared" si="1"/>
        <v>0</v>
      </c>
      <c r="S57" s="423" t="e">
        <f t="shared" si="3"/>
        <v>#REF!</v>
      </c>
    </row>
    <row r="58" spans="2:23" x14ac:dyDescent="0.25">
      <c r="B58" s="2" t="s">
        <v>21</v>
      </c>
      <c r="C58" s="465">
        <v>3726</v>
      </c>
      <c r="D58" s="4">
        <f>192+150</f>
        <v>342</v>
      </c>
      <c r="E58" s="377">
        <v>0</v>
      </c>
      <c r="F58" s="507" t="e">
        <f>#REF!</f>
        <v>#REF!</v>
      </c>
      <c r="G58" s="13">
        <v>0</v>
      </c>
      <c r="H58" s="506" t="e">
        <f t="shared" si="7"/>
        <v>#REF!</v>
      </c>
      <c r="I58" s="419">
        <v>1500</v>
      </c>
      <c r="J58" s="498" t="e">
        <f t="shared" si="5"/>
        <v>#REF!</v>
      </c>
      <c r="K58" s="33"/>
      <c r="L58" s="9"/>
      <c r="M58" s="421">
        <v>5455.5008261417579</v>
      </c>
      <c r="N58" s="444">
        <v>1500</v>
      </c>
      <c r="O58" s="447">
        <v>5996.8255529235412</v>
      </c>
      <c r="P58" s="448"/>
      <c r="Q58" s="529" t="e">
        <f t="shared" si="1"/>
        <v>#REF!</v>
      </c>
      <c r="R58" s="423">
        <f t="shared" si="1"/>
        <v>0</v>
      </c>
      <c r="S58" s="423" t="e">
        <f t="shared" si="3"/>
        <v>#REF!</v>
      </c>
    </row>
    <row r="59" spans="2:23" ht="15.75" thickBot="1" x14ac:dyDescent="0.3">
      <c r="B59" s="460" t="s">
        <v>146</v>
      </c>
      <c r="C59" s="461">
        <v>3727</v>
      </c>
      <c r="D59" s="462">
        <v>1053</v>
      </c>
      <c r="E59" s="478">
        <v>0</v>
      </c>
      <c r="F59" s="507" t="e">
        <f>#REF!</f>
        <v>#REF!</v>
      </c>
      <c r="G59" s="463">
        <v>0</v>
      </c>
      <c r="H59" s="507" t="e">
        <f>SUM(F53+F54+F57)*(1-0.265)*0.234</f>
        <v>#REF!</v>
      </c>
      <c r="I59" s="464">
        <f>2187*0.31</f>
        <v>677.97</v>
      </c>
      <c r="J59" s="501" t="e">
        <f t="shared" si="5"/>
        <v>#REF!</v>
      </c>
      <c r="K59" s="34"/>
      <c r="L59" s="9"/>
      <c r="M59" s="533">
        <v>8872.4014311450264</v>
      </c>
      <c r="N59" s="532">
        <v>677.97</v>
      </c>
      <c r="O59" s="531">
        <v>0</v>
      </c>
      <c r="P59" s="532"/>
      <c r="Q59" s="431" t="e">
        <f t="shared" si="1"/>
        <v>#REF!</v>
      </c>
      <c r="R59" s="412">
        <f t="shared" si="1"/>
        <v>0</v>
      </c>
      <c r="S59" s="412" t="e">
        <f t="shared" si="3"/>
        <v>#REF!</v>
      </c>
    </row>
    <row r="60" spans="2:23" ht="15.75" hidden="1" thickBot="1" x14ac:dyDescent="0.3">
      <c r="B60" s="28" t="s">
        <v>128</v>
      </c>
      <c r="C60" s="15">
        <v>3900</v>
      </c>
      <c r="D60" s="414"/>
      <c r="E60" s="389"/>
      <c r="F60" s="10" t="s">
        <v>51</v>
      </c>
      <c r="G60" s="14"/>
      <c r="H60" s="12"/>
      <c r="I60" s="11"/>
      <c r="J60" s="500"/>
      <c r="K60" s="33"/>
      <c r="L60" s="393"/>
      <c r="O60" s="411"/>
    </row>
    <row r="61" spans="2:23" ht="15.75" hidden="1" thickBot="1" x14ac:dyDescent="0.3">
      <c r="B61" s="28" t="s">
        <v>130</v>
      </c>
      <c r="C61" s="15">
        <v>3900</v>
      </c>
      <c r="D61" s="377"/>
      <c r="E61" s="389"/>
      <c r="F61" s="10" t="s">
        <v>51</v>
      </c>
      <c r="G61" s="14"/>
      <c r="H61" s="12"/>
      <c r="I61" s="11"/>
      <c r="J61" s="500"/>
      <c r="K61" s="33"/>
      <c r="L61" s="393"/>
      <c r="O61" s="411"/>
    </row>
    <row r="62" spans="2:23" ht="15.75" thickBot="1" x14ac:dyDescent="0.3">
      <c r="B62" s="481" t="s">
        <v>63</v>
      </c>
      <c r="C62" s="482"/>
      <c r="D62" s="483">
        <f>D18+D17+D14+D13</f>
        <v>97187</v>
      </c>
      <c r="E62" s="483">
        <f t="shared" ref="E62" si="9">E18+E17+E14+E13</f>
        <v>0</v>
      </c>
      <c r="F62" s="483" t="e">
        <f>SUM(F19:F58)+F16</f>
        <v>#REF!</v>
      </c>
      <c r="G62" s="483">
        <f>SUM(G19:G58)+G17</f>
        <v>246418.60813955218</v>
      </c>
      <c r="H62" s="483" t="e">
        <f>SUM(H19:H59)+H16</f>
        <v>#REF!</v>
      </c>
      <c r="I62" s="484">
        <f>SUM(I20:I59)+I17</f>
        <v>150315.3509651268</v>
      </c>
      <c r="J62" s="499" t="e">
        <f>SUM(J20:J61)+J17</f>
        <v>#REF!</v>
      </c>
      <c r="K62" s="388"/>
      <c r="L62" s="399"/>
      <c r="O62" s="411"/>
      <c r="W62" s="61"/>
    </row>
    <row r="63" spans="2:23" x14ac:dyDescent="0.25">
      <c r="B63" s="6"/>
      <c r="D63" s="398"/>
      <c r="E63" s="488" t="s">
        <v>160</v>
      </c>
      <c r="F63" s="8"/>
      <c r="H63" s="9"/>
      <c r="I63" s="29"/>
      <c r="J63" s="459"/>
      <c r="K63" s="8"/>
      <c r="L63" s="9"/>
      <c r="W63" s="61"/>
    </row>
    <row r="64" spans="2:23" x14ac:dyDescent="0.25">
      <c r="R64" s="411"/>
      <c r="S64" s="411"/>
    </row>
    <row r="65" spans="2:23" hidden="1" x14ac:dyDescent="0.25">
      <c r="H65" s="8"/>
      <c r="I65" s="8"/>
      <c r="J65" s="1">
        <f>H65+I65</f>
        <v>0</v>
      </c>
      <c r="R65" s="413"/>
      <c r="S65" s="413"/>
      <c r="W65" s="61"/>
    </row>
    <row r="66" spans="2:23" hidden="1" x14ac:dyDescent="0.25">
      <c r="B66" s="364" t="s">
        <v>126</v>
      </c>
      <c r="C66" s="364"/>
      <c r="D66" s="364"/>
      <c r="E66" s="479"/>
      <c r="F66" s="364"/>
      <c r="G66" s="365"/>
      <c r="H66" s="366"/>
      <c r="I66" s="366"/>
      <c r="J66" s="363">
        <f>J65/R18</f>
        <v>0</v>
      </c>
      <c r="W66" s="61"/>
    </row>
    <row r="67" spans="2:23" hidden="1" x14ac:dyDescent="0.25"/>
    <row r="68" spans="2:23" x14ac:dyDescent="0.25">
      <c r="E68" s="480"/>
      <c r="H68" s="8"/>
    </row>
    <row r="73" spans="2:23" ht="15.75" x14ac:dyDescent="0.25">
      <c r="F73" s="527"/>
      <c r="G73" s="528"/>
      <c r="H73" s="8"/>
    </row>
    <row r="74" spans="2:23" ht="15.75" x14ac:dyDescent="0.25">
      <c r="F74" s="527"/>
      <c r="G74" s="528"/>
      <c r="H74" s="8"/>
    </row>
    <row r="75" spans="2:23" ht="15.75" x14ac:dyDescent="0.25">
      <c r="F75" s="527"/>
      <c r="G75" s="528"/>
    </row>
    <row r="76" spans="2:23" ht="15.75" x14ac:dyDescent="0.25">
      <c r="F76" s="527"/>
      <c r="G76" s="528"/>
    </row>
  </sheetData>
  <mergeCells count="21">
    <mergeCell ref="B18:C18"/>
    <mergeCell ref="M4:P4"/>
    <mergeCell ref="J5:K7"/>
    <mergeCell ref="O5:P5"/>
    <mergeCell ref="B6:B7"/>
    <mergeCell ref="C6:C7"/>
    <mergeCell ref="F6:F7"/>
    <mergeCell ref="G6:G7"/>
    <mergeCell ref="H6:H7"/>
    <mergeCell ref="I6:I7"/>
    <mergeCell ref="B4:C5"/>
    <mergeCell ref="D4:D5"/>
    <mergeCell ref="E4:E5"/>
    <mergeCell ref="F4:G4"/>
    <mergeCell ref="H4:I4"/>
    <mergeCell ref="J4:K4"/>
    <mergeCell ref="B8:C8"/>
    <mergeCell ref="B10:C10"/>
    <mergeCell ref="B11:C11"/>
    <mergeCell ref="B12:C13"/>
    <mergeCell ref="B15:C15"/>
  </mergeCells>
  <pageMargins left="0.7" right="0.7" top="0.78740157499999996" bottom="0.78740157499999996" header="0.3" footer="0.3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Rozpočet 2020</vt:lpstr>
      <vt:lpstr>srovnání s rokem 2014-hodnoty</vt:lpstr>
      <vt:lpstr>Rozpočet 2016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Frébort</dc:creator>
  <cp:lastModifiedBy>Ing. Lenka Káňová</cp:lastModifiedBy>
  <cp:lastPrinted>2020-10-13T06:50:36Z</cp:lastPrinted>
  <dcterms:created xsi:type="dcterms:W3CDTF">2011-10-29T15:42:11Z</dcterms:created>
  <dcterms:modified xsi:type="dcterms:W3CDTF">2020-10-13T06:50:47Z</dcterms:modified>
</cp:coreProperties>
</file>