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20\PŘF\Zprávy o hospodaření\Průběžná zpráva o hospodaření 31.8.2020\FINAL\"/>
    </mc:Choice>
  </mc:AlternateContent>
  <bookViews>
    <workbookView xWindow="0" yWindow="0" windowWidth="28800" windowHeight="12000"/>
  </bookViews>
  <sheets>
    <sheet name="FRIM - 80, 81" sheetId="1" r:id="rId1"/>
    <sheet name="FRIM - kapit. 30" sheetId="4" r:id="rId2"/>
    <sheet name=" FPP - 82" sheetId="2" r:id="rId3"/>
    <sheet name="FPP HV - 82" sheetId="3" r:id="rId4"/>
  </sheets>
  <calcPr calcId="162913"/>
</workbook>
</file>

<file path=xl/calcChain.xml><?xml version="1.0" encoding="utf-8"?>
<calcChain xmlns="http://schemas.openxmlformats.org/spreadsheetml/2006/main">
  <c r="E34" i="1" l="1"/>
  <c r="F34" i="1"/>
  <c r="G34" i="1"/>
  <c r="H34" i="1"/>
  <c r="I34" i="1"/>
  <c r="J34" i="1"/>
  <c r="D34" i="1"/>
  <c r="D49" i="2" l="1"/>
  <c r="E49" i="2"/>
  <c r="F49" i="2"/>
  <c r="G49" i="2"/>
  <c r="H49" i="2"/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6" i="3"/>
  <c r="F36" i="2"/>
  <c r="F48" i="2" l="1"/>
  <c r="F45" i="3"/>
  <c r="F45" i="2"/>
  <c r="F43" i="2"/>
  <c r="F41" i="2"/>
  <c r="F39" i="2"/>
  <c r="F28" i="2"/>
  <c r="F26" i="2"/>
  <c r="F24" i="2"/>
  <c r="F22" i="3"/>
  <c r="F32" i="2"/>
  <c r="F9" i="2"/>
  <c r="F8" i="2"/>
  <c r="F7" i="2" l="1"/>
  <c r="E9" i="4" l="1"/>
  <c r="E14" i="4"/>
  <c r="E20" i="4"/>
  <c r="E47" i="4" s="1"/>
  <c r="E31" i="4"/>
  <c r="E38" i="4"/>
  <c r="I33" i="1" l="1"/>
  <c r="E33" i="1"/>
  <c r="G22" i="1"/>
  <c r="G33" i="1"/>
  <c r="G11" i="1"/>
  <c r="G6" i="1"/>
  <c r="F33" i="1" l="1"/>
  <c r="C49" i="3" l="1"/>
  <c r="D31" i="4"/>
  <c r="D14" i="4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6" i="2"/>
  <c r="G62" i="2"/>
  <c r="G61" i="2"/>
  <c r="G63" i="2" l="1"/>
  <c r="H48" i="2" l="1"/>
  <c r="D52" i="3" l="1"/>
  <c r="E52" i="3"/>
  <c r="D53" i="3"/>
  <c r="E53" i="3"/>
  <c r="F53" i="3"/>
  <c r="C52" i="3"/>
  <c r="C53" i="3"/>
  <c r="C61" i="2"/>
  <c r="D61" i="2"/>
  <c r="E61" i="2"/>
  <c r="F61" i="2"/>
  <c r="C62" i="2"/>
  <c r="D62" i="2"/>
  <c r="E62" i="2"/>
  <c r="F62" i="2"/>
  <c r="D54" i="3" l="1"/>
  <c r="E54" i="3"/>
  <c r="E63" i="2"/>
  <c r="C63" i="2"/>
  <c r="F63" i="2"/>
  <c r="D63" i="2"/>
  <c r="C54" i="3"/>
  <c r="C49" i="2" l="1"/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5" i="1"/>
  <c r="E49" i="3" l="1"/>
  <c r="G53" i="3" l="1"/>
  <c r="F52" i="3"/>
  <c r="F54" i="3" s="1"/>
  <c r="G52" i="3" l="1"/>
  <c r="G54" i="3" s="1"/>
  <c r="G49" i="3"/>
  <c r="F49" i="3"/>
  <c r="F50" i="3" l="1"/>
  <c r="D20" i="4" l="1"/>
  <c r="D9" i="4"/>
  <c r="D47" i="4" l="1"/>
  <c r="J33" i="1" l="1"/>
  <c r="F46" i="4" l="1"/>
  <c r="H45" i="4"/>
  <c r="F45" i="4"/>
  <c r="H44" i="4"/>
  <c r="F44" i="4"/>
  <c r="H43" i="4"/>
  <c r="F43" i="4"/>
  <c r="H42" i="4"/>
  <c r="F42" i="4"/>
  <c r="H41" i="4"/>
  <c r="F41" i="4"/>
  <c r="H40" i="4"/>
  <c r="F40" i="4"/>
  <c r="H39" i="4"/>
  <c r="F39" i="4"/>
  <c r="H38" i="4"/>
  <c r="F38" i="4"/>
  <c r="F37" i="4"/>
  <c r="H37" i="4"/>
  <c r="F36" i="4"/>
  <c r="H36" i="4"/>
  <c r="F35" i="4"/>
  <c r="H35" i="4"/>
  <c r="F34" i="4"/>
  <c r="H34" i="4"/>
  <c r="F33" i="4"/>
  <c r="H33" i="4"/>
  <c r="F32" i="4"/>
  <c r="H32" i="4"/>
  <c r="F31" i="4"/>
  <c r="H31" i="4"/>
  <c r="F30" i="4"/>
  <c r="H30" i="4"/>
  <c r="F29" i="4"/>
  <c r="H29" i="4"/>
  <c r="F28" i="4"/>
  <c r="H28" i="4"/>
  <c r="F27" i="4"/>
  <c r="H27" i="4"/>
  <c r="F26" i="4"/>
  <c r="H26" i="4"/>
  <c r="F25" i="4"/>
  <c r="H25" i="4"/>
  <c r="F24" i="4"/>
  <c r="H24" i="4"/>
  <c r="F23" i="4"/>
  <c r="H23" i="4"/>
  <c r="F22" i="4"/>
  <c r="H22" i="4"/>
  <c r="F21" i="4"/>
  <c r="H21" i="4"/>
  <c r="F20" i="4"/>
  <c r="H20" i="4"/>
  <c r="F19" i="4"/>
  <c r="H19" i="4"/>
  <c r="F18" i="4"/>
  <c r="H18" i="4"/>
  <c r="F17" i="4"/>
  <c r="H17" i="4"/>
  <c r="F16" i="4"/>
  <c r="H16" i="4"/>
  <c r="F15" i="4"/>
  <c r="H15" i="4"/>
  <c r="F14" i="4"/>
  <c r="H14" i="4"/>
  <c r="F13" i="4"/>
  <c r="H13" i="4"/>
  <c r="F12" i="4"/>
  <c r="H12" i="4"/>
  <c r="F11" i="4"/>
  <c r="H11" i="4"/>
  <c r="F10" i="4"/>
  <c r="H10" i="4"/>
  <c r="F9" i="4"/>
  <c r="H9" i="4"/>
  <c r="F8" i="4"/>
  <c r="H8" i="4"/>
  <c r="F7" i="4"/>
  <c r="H7" i="4"/>
  <c r="F6" i="4"/>
  <c r="H6" i="4"/>
  <c r="F5" i="4"/>
  <c r="F47" i="4" l="1"/>
  <c r="D49" i="3"/>
  <c r="H5" i="4" l="1"/>
  <c r="L22" i="1" l="1"/>
  <c r="L7" i="1"/>
  <c r="L8" i="1"/>
  <c r="L9" i="1"/>
  <c r="L10" i="1"/>
  <c r="L12" i="1"/>
  <c r="L13" i="1"/>
  <c r="L14" i="1"/>
  <c r="L15" i="1"/>
  <c r="L16" i="1"/>
  <c r="L17" i="1"/>
  <c r="L18" i="1"/>
  <c r="L19" i="1"/>
  <c r="L20" i="1"/>
  <c r="L21" i="1"/>
  <c r="L23" i="1"/>
  <c r="L24" i="1"/>
  <c r="L26" i="1"/>
  <c r="L27" i="1"/>
  <c r="L28" i="1"/>
  <c r="L29" i="1"/>
  <c r="L30" i="1"/>
  <c r="L33" i="1"/>
  <c r="L11" i="1"/>
  <c r="L25" i="1"/>
  <c r="L5" i="1" l="1"/>
  <c r="L6" i="1"/>
</calcChain>
</file>

<file path=xl/comments1.xml><?xml version="1.0" encoding="utf-8"?>
<comments xmlns="http://schemas.openxmlformats.org/spreadsheetml/2006/main">
  <authors>
    <author>Ing. Lenka Káňová</author>
  </authors>
  <commentList>
    <comment ref="C4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Cílový stav, kdy budou proúčtovány investice ve zdroji 81 za r. 2018
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38"/>
          </rPr>
          <t>Ing. Lenka Káňová:</t>
        </r>
        <r>
          <rPr>
            <sz val="9"/>
            <color indexed="81"/>
            <rFont val="Tahoma"/>
            <family val="2"/>
            <charset val="238"/>
          </rPr>
          <t xml:space="preserve">
Převod na FF</t>
        </r>
      </text>
    </comment>
  </commentList>
</comments>
</file>

<file path=xl/sharedStrings.xml><?xml version="1.0" encoding="utf-8"?>
<sst xmlns="http://schemas.openxmlformats.org/spreadsheetml/2006/main" count="213" uniqueCount="81">
  <si>
    <t>kód</t>
  </si>
  <si>
    <t>katedra</t>
  </si>
  <si>
    <t>Kapitalizovaný zdroj 30</t>
  </si>
  <si>
    <t>Zůstatek ve FRIM pro příští rok (v případě půjček)</t>
  </si>
  <si>
    <t>Zůstatek kapitalizovaného zdroje 30</t>
  </si>
  <si>
    <t>zůstatek ve FRIM pro příští rok</t>
  </si>
  <si>
    <t>VPRO matematika a informatika</t>
  </si>
  <si>
    <t>Mat. analýza a apl. mat.</t>
  </si>
  <si>
    <t>Algebra a geometrie</t>
  </si>
  <si>
    <t>Informatika</t>
  </si>
  <si>
    <t>VPRO fyzika</t>
  </si>
  <si>
    <t>Experimentální fyzika</t>
  </si>
  <si>
    <t>Optika</t>
  </si>
  <si>
    <t>Společná laboratoř</t>
  </si>
  <si>
    <t>Biofyzika</t>
  </si>
  <si>
    <t>VPRO chemie</t>
  </si>
  <si>
    <t>Anorganická chemie</t>
  </si>
  <si>
    <t>Fyzikální chemie</t>
  </si>
  <si>
    <t>Analytické chemie</t>
  </si>
  <si>
    <t>Organická chemie</t>
  </si>
  <si>
    <t>Biochemie</t>
  </si>
  <si>
    <t>VPRO biologie a ekologie</t>
  </si>
  <si>
    <t>Botanika</t>
  </si>
  <si>
    <t>Laboratoř růstových regulátorů</t>
  </si>
  <si>
    <t>Zoologie a antropologie</t>
  </si>
  <si>
    <t>Ekologie a životní prostředí</t>
  </si>
  <si>
    <t>Buněčná biologie a genetika</t>
  </si>
  <si>
    <t>VPRO vědy o Zemi</t>
  </si>
  <si>
    <t>Geografie</t>
  </si>
  <si>
    <t>Geologie</t>
  </si>
  <si>
    <t>Geoinformatika</t>
  </si>
  <si>
    <t>Rozvojová a environmentální studia</t>
  </si>
  <si>
    <t>CRH - Řídící úsek</t>
  </si>
  <si>
    <t>Proteinová biochemie a proteomika</t>
  </si>
  <si>
    <t>Bioenergetika rostlin</t>
  </si>
  <si>
    <t>Chemická biologie</t>
  </si>
  <si>
    <t>Rostlinné biotechnologie</t>
  </si>
  <si>
    <t>Buněčná a vývojová biologie rostlin</t>
  </si>
  <si>
    <t>Centrální laboratoře a podpora výzkumu</t>
  </si>
  <si>
    <t>RCPTM - Vedení</t>
  </si>
  <si>
    <t>RCPTM - Magnetic</t>
  </si>
  <si>
    <t>RCPTM - Uhlík</t>
  </si>
  <si>
    <t>RCPTM - Komplexy</t>
  </si>
  <si>
    <t>RCPTM - Optika</t>
  </si>
  <si>
    <t>RCPTM - Bio-Med</t>
  </si>
  <si>
    <t>RCPTM - Analýza</t>
  </si>
  <si>
    <t>RCPTM - Environmental</t>
  </si>
  <si>
    <t>RCPTM - Elektrochemie</t>
  </si>
  <si>
    <t>CELKEM</t>
  </si>
  <si>
    <r>
      <rPr>
        <b/>
        <sz val="13"/>
        <rFont val="Calibri"/>
        <family val="2"/>
        <charset val="238"/>
        <scheme val="minor"/>
      </rPr>
      <t xml:space="preserve">Čerpání investice - FRIM zdroj 80/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</si>
  <si>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kapitalizovaný zdroj 30 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</si>
  <si>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r>
      <rPr>
        <b/>
        <sz val="13"/>
        <rFont val="Calibri"/>
        <family val="2"/>
        <charset val="238"/>
        <scheme val="minor"/>
      </rPr>
      <t xml:space="preserve">Čerpání investice - FRIM z FPP zdroj 81/ Fakturovaná cena </t>
    </r>
    <r>
      <rPr>
        <b/>
        <sz val="13"/>
        <color rgb="FFFF0000"/>
        <rFont val="Calibri"/>
        <family val="2"/>
        <charset val="238"/>
        <scheme val="minor"/>
      </rPr>
      <t xml:space="preserve">včetně DPH </t>
    </r>
  </si>
  <si>
    <t>Úpravy</t>
  </si>
  <si>
    <t>Oprava spočívá v navýšení čerpání FPP střediska 3111 v provozu o částku 10 195,73 Kč (FPP uk. F). Nová hodnota celkové částky čerpání FPP v provozu 13 052 642,28 Kč (změna z původní částky 13 042 446,55 Kč) a nová celková hodnota zůstatku FPP je 86 307 834,88 Kč (změna z původní částky 86 318 030,61 Kč)</t>
  </si>
  <si>
    <t>Zdanění?</t>
  </si>
  <si>
    <t>FPP</t>
  </si>
  <si>
    <t>FRIM</t>
  </si>
  <si>
    <t>zdroj: tabulka Lucka Zdařilová</t>
  </si>
  <si>
    <t>FPP HV</t>
  </si>
  <si>
    <t>SPP - SAP</t>
  </si>
  <si>
    <t xml:space="preserve">Čerpání </t>
  </si>
  <si>
    <t>Děkanát / fakulta</t>
  </si>
  <si>
    <t>MedChemBio - bude spláceno postupně</t>
  </si>
  <si>
    <t>SAP: 911/900-999/82</t>
  </si>
  <si>
    <t>Tvorba FRIM - převody, výměny</t>
  </si>
  <si>
    <t>Tvorba FRIM z FPP - převody, výměny</t>
  </si>
  <si>
    <t>katedry</t>
  </si>
  <si>
    <t>PřF</t>
  </si>
  <si>
    <t>Převod FPP do FRIM FPP</t>
  </si>
  <si>
    <t>Převod mezi součástmi</t>
  </si>
  <si>
    <t>PS 2020 - SAP</t>
  </si>
  <si>
    <t>FRIM - KS 2020</t>
  </si>
  <si>
    <t>Odpisy zaúčtované v SAP</t>
  </si>
  <si>
    <t>PS 2020</t>
  </si>
  <si>
    <t>Skutečné čerpání 2020 FPP NIV  (čerpání + převody)</t>
  </si>
  <si>
    <t>KS 2020</t>
  </si>
  <si>
    <t>HV 2019</t>
  </si>
  <si>
    <t>Čerpání 2020 (čerpání + převody)</t>
  </si>
  <si>
    <t>Výsledek hospodaření 2021</t>
  </si>
  <si>
    <t>CRH celkem</t>
  </si>
  <si>
    <t>RCPTM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</si>
</sst>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24"/>
      <color rgb="FF0070C0"/>
      <name val="Calibri"/>
      <family val="2"/>
      <charset val="238"/>
      <scheme val="minor"/>
    </font>
    <font>
      <sz val="24"/>
      <color rgb="FF00B050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3" fillId="0" borderId="0" xfId="0" applyFont="1"/>
    <xf numFmtId="0" fontId="0" fillId="0" borderId="0" xfId="0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7" fillId="0" borderId="0" xfId="0" applyFont="1"/>
    <xf numFmtId="0" fontId="2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/>
    </xf>
    <xf numFmtId="0" fontId="14" fillId="5" borderId="13" xfId="0" applyFont="1" applyFill="1" applyBorder="1"/>
    <xf numFmtId="164" fontId="0" fillId="0" borderId="0" xfId="0" applyNumberFormat="1" applyFont="1"/>
    <xf numFmtId="164" fontId="3" fillId="5" borderId="0" xfId="0" applyNumberFormat="1" applyFont="1" applyFill="1"/>
    <xf numFmtId="0" fontId="14" fillId="3" borderId="14" xfId="0" applyFont="1" applyFill="1" applyBorder="1" applyAlignment="1">
      <alignment horizontal="center"/>
    </xf>
    <xf numFmtId="0" fontId="0" fillId="0" borderId="15" xfId="0" applyFont="1" applyFill="1" applyBorder="1"/>
    <xf numFmtId="164" fontId="3" fillId="0" borderId="0" xfId="0" applyNumberFormat="1" applyFont="1"/>
    <xf numFmtId="0" fontId="14" fillId="5" borderId="15" xfId="0" applyFont="1" applyFill="1" applyBorder="1"/>
    <xf numFmtId="0" fontId="0" fillId="0" borderId="0" xfId="0" applyFont="1"/>
    <xf numFmtId="0" fontId="0" fillId="5" borderId="15" xfId="0" applyFont="1" applyFill="1" applyBorder="1"/>
    <xf numFmtId="164" fontId="15" fillId="0" borderId="0" xfId="0" applyNumberFormat="1" applyFont="1" applyFill="1"/>
    <xf numFmtId="0" fontId="0" fillId="3" borderId="14" xfId="0" applyFont="1" applyFill="1" applyBorder="1" applyAlignment="1">
      <alignment horizontal="center"/>
    </xf>
    <xf numFmtId="0" fontId="2" fillId="5" borderId="17" xfId="0" applyFont="1" applyFill="1" applyBorder="1" applyAlignment="1"/>
    <xf numFmtId="0" fontId="2" fillId="5" borderId="18" xfId="0" applyFont="1" applyFill="1" applyBorder="1" applyAlignment="1"/>
    <xf numFmtId="0" fontId="10" fillId="0" borderId="0" xfId="0" applyFont="1" applyFill="1" applyBorder="1" applyAlignment="1"/>
    <xf numFmtId="164" fontId="16" fillId="0" borderId="0" xfId="0" applyNumberFormat="1" applyFont="1" applyFill="1"/>
    <xf numFmtId="0" fontId="16" fillId="0" borderId="0" xfId="0" applyFont="1"/>
    <xf numFmtId="164" fontId="16" fillId="0" borderId="0" xfId="0" applyNumberFormat="1" applyFont="1"/>
    <xf numFmtId="164" fontId="0" fillId="0" borderId="0" xfId="0" applyNumberFormat="1"/>
    <xf numFmtId="0" fontId="17" fillId="0" borderId="0" xfId="0" applyFont="1"/>
    <xf numFmtId="4" fontId="0" fillId="0" borderId="16" xfId="0" applyNumberFormat="1" applyFont="1" applyFill="1" applyBorder="1" applyAlignment="1">
      <alignment vertical="center"/>
    </xf>
    <xf numFmtId="4" fontId="0" fillId="5" borderId="16" xfId="0" applyNumberFormat="1" applyFont="1" applyFill="1" applyBorder="1" applyAlignment="1">
      <alignment vertical="center"/>
    </xf>
    <xf numFmtId="0" fontId="2" fillId="5" borderId="21" xfId="0" applyFont="1" applyFill="1" applyBorder="1" applyAlignment="1">
      <alignment vertical="center"/>
    </xf>
    <xf numFmtId="4" fontId="2" fillId="5" borderId="19" xfId="0" applyNumberFormat="1" applyFont="1" applyFill="1" applyBorder="1" applyAlignment="1">
      <alignment vertical="center"/>
    </xf>
    <xf numFmtId="0" fontId="2" fillId="0" borderId="0" xfId="0" applyFont="1" applyFill="1" applyBorder="1" applyAlignment="1"/>
    <xf numFmtId="164" fontId="2" fillId="0" borderId="0" xfId="0" applyNumberFormat="1" applyFont="1" applyFill="1" applyBorder="1"/>
    <xf numFmtId="0" fontId="16" fillId="0" borderId="0" xfId="0" applyFont="1" applyFill="1" applyBorder="1"/>
    <xf numFmtId="4" fontId="0" fillId="0" borderId="0" xfId="0" applyNumberFormat="1"/>
    <xf numFmtId="4" fontId="14" fillId="5" borderId="11" xfId="0" applyNumberFormat="1" applyFont="1" applyFill="1" applyBorder="1" applyAlignment="1">
      <alignment vertical="center"/>
    </xf>
    <xf numFmtId="4" fontId="14" fillId="5" borderId="16" xfId="0" applyNumberFormat="1" applyFont="1" applyFill="1" applyBorder="1" applyAlignment="1">
      <alignment vertical="center"/>
    </xf>
    <xf numFmtId="164" fontId="0" fillId="0" borderId="0" xfId="0" applyNumberFormat="1" applyFill="1"/>
    <xf numFmtId="0" fontId="14" fillId="5" borderId="16" xfId="0" applyFont="1" applyFill="1" applyBorder="1"/>
    <xf numFmtId="0" fontId="0" fillId="0" borderId="16" xfId="0" applyFont="1" applyFill="1" applyBorder="1"/>
    <xf numFmtId="0" fontId="0" fillId="5" borderId="16" xfId="0" applyFont="1" applyFill="1" applyBorder="1"/>
    <xf numFmtId="4" fontId="0" fillId="0" borderId="0" xfId="0" applyNumberFormat="1" applyFont="1"/>
    <xf numFmtId="0" fontId="2" fillId="0" borderId="0" xfId="0" applyNumberFormat="1" applyFont="1" applyFill="1" applyBorder="1"/>
    <xf numFmtId="4" fontId="0" fillId="0" borderId="0" xfId="0" applyNumberFormat="1" applyFill="1"/>
    <xf numFmtId="4" fontId="14" fillId="0" borderId="16" xfId="0" applyNumberFormat="1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vertical="center"/>
    </xf>
    <xf numFmtId="4" fontId="0" fillId="0" borderId="16" xfId="0" applyNumberFormat="1" applyFont="1" applyFill="1" applyBorder="1"/>
    <xf numFmtId="4" fontId="14" fillId="0" borderId="16" xfId="0" applyNumberFormat="1" applyFont="1" applyFill="1" applyBorder="1"/>
    <xf numFmtId="4" fontId="0" fillId="5" borderId="16" xfId="0" applyNumberFormat="1" applyFont="1" applyFill="1" applyBorder="1"/>
    <xf numFmtId="4" fontId="14" fillId="5" borderId="15" xfId="0" applyNumberFormat="1" applyFont="1" applyFill="1" applyBorder="1"/>
    <xf numFmtId="4" fontId="2" fillId="5" borderId="18" xfId="0" applyNumberFormat="1" applyFont="1" applyFill="1" applyBorder="1" applyAlignment="1"/>
    <xf numFmtId="4" fontId="0" fillId="0" borderId="16" xfId="0" applyNumberFormat="1" applyFont="1" applyBorder="1"/>
    <xf numFmtId="4" fontId="2" fillId="5" borderId="19" xfId="0" applyNumberFormat="1" applyFont="1" applyFill="1" applyBorder="1"/>
    <xf numFmtId="0" fontId="14" fillId="3" borderId="31" xfId="0" applyFont="1" applyFill="1" applyBorder="1" applyAlignment="1">
      <alignment horizontal="center" vertical="center"/>
    </xf>
    <xf numFmtId="0" fontId="14" fillId="3" borderId="32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vertical="center"/>
    </xf>
    <xf numFmtId="0" fontId="0" fillId="0" borderId="20" xfId="0" applyFont="1" applyFill="1" applyBorder="1" applyAlignment="1">
      <alignment vertical="center"/>
    </xf>
    <xf numFmtId="0" fontId="14" fillId="5" borderId="20" xfId="0" applyFont="1" applyFill="1" applyBorder="1" applyAlignment="1">
      <alignment vertical="center"/>
    </xf>
    <xf numFmtId="0" fontId="0" fillId="5" borderId="20" xfId="0" applyFont="1" applyFill="1" applyBorder="1" applyAlignment="1">
      <alignment vertical="center"/>
    </xf>
    <xf numFmtId="0" fontId="0" fillId="0" borderId="0" xfId="0" applyBorder="1"/>
    <xf numFmtId="4" fontId="0" fillId="0" borderId="0" xfId="0" applyNumberFormat="1" applyFont="1" applyFill="1" applyBorder="1" applyAlignment="1">
      <alignment vertical="center"/>
    </xf>
    <xf numFmtId="4" fontId="14" fillId="5" borderId="16" xfId="0" applyNumberFormat="1" applyFont="1" applyFill="1" applyBorder="1"/>
    <xf numFmtId="0" fontId="2" fillId="5" borderId="21" xfId="0" applyFont="1" applyFill="1" applyBorder="1" applyAlignment="1"/>
    <xf numFmtId="0" fontId="2" fillId="5" borderId="19" xfId="0" applyFont="1" applyFill="1" applyBorder="1" applyAlignment="1"/>
    <xf numFmtId="4" fontId="2" fillId="6" borderId="19" xfId="0" applyNumberFormat="1" applyFont="1" applyFill="1" applyBorder="1"/>
    <xf numFmtId="0" fontId="14" fillId="3" borderId="33" xfId="0" applyFont="1" applyFill="1" applyBorder="1" applyAlignment="1">
      <alignment horizontal="center"/>
    </xf>
    <xf numFmtId="0" fontId="14" fillId="5" borderId="3" xfId="0" applyFont="1" applyFill="1" applyBorder="1"/>
    <xf numFmtId="4" fontId="0" fillId="5" borderId="3" xfId="0" applyNumberFormat="1" applyFont="1" applyFill="1" applyBorder="1"/>
    <xf numFmtId="0" fontId="14" fillId="3" borderId="20" xfId="0" applyFont="1" applyFill="1" applyBorder="1" applyAlignment="1">
      <alignment horizontal="center"/>
    </xf>
    <xf numFmtId="4" fontId="14" fillId="0" borderId="9" xfId="0" applyNumberFormat="1" applyFont="1" applyFill="1" applyBorder="1"/>
    <xf numFmtId="3" fontId="0" fillId="5" borderId="16" xfId="0" applyNumberFormat="1" applyFont="1" applyFill="1" applyBorder="1"/>
    <xf numFmtId="3" fontId="14" fillId="0" borderId="16" xfId="0" applyNumberFormat="1" applyFont="1" applyFill="1" applyBorder="1"/>
    <xf numFmtId="3" fontId="0" fillId="5" borderId="30" xfId="0" applyNumberFormat="1" applyFont="1" applyFill="1" applyBorder="1"/>
    <xf numFmtId="0" fontId="18" fillId="0" borderId="0" xfId="0" applyFont="1"/>
    <xf numFmtId="3" fontId="0" fillId="5" borderId="11" xfId="0" applyNumberFormat="1" applyFont="1" applyFill="1" applyBorder="1"/>
    <xf numFmtId="3" fontId="0" fillId="5" borderId="29" xfId="0" applyNumberFormat="1" applyFont="1" applyFill="1" applyBorder="1"/>
    <xf numFmtId="3" fontId="0" fillId="0" borderId="16" xfId="0" applyNumberFormat="1" applyFont="1" applyBorder="1"/>
    <xf numFmtId="3" fontId="0" fillId="0" borderId="30" xfId="0" applyNumberFormat="1" applyFont="1" applyBorder="1"/>
    <xf numFmtId="3" fontId="0" fillId="0" borderId="30" xfId="0" applyNumberFormat="1" applyFont="1" applyFill="1" applyBorder="1"/>
    <xf numFmtId="0" fontId="7" fillId="0" borderId="0" xfId="0" applyFont="1" applyAlignment="1"/>
    <xf numFmtId="0" fontId="4" fillId="0" borderId="0" xfId="0" applyFont="1" applyFill="1" applyAlignment="1">
      <alignment horizontal="center"/>
    </xf>
    <xf numFmtId="4" fontId="0" fillId="5" borderId="30" xfId="0" applyNumberFormat="1" applyFont="1" applyFill="1" applyBorder="1"/>
    <xf numFmtId="4" fontId="0" fillId="0" borderId="30" xfId="0" applyNumberFormat="1" applyFont="1" applyFill="1" applyBorder="1"/>
    <xf numFmtId="4" fontId="0" fillId="7" borderId="11" xfId="0" applyNumberFormat="1" applyFont="1" applyFill="1" applyBorder="1"/>
    <xf numFmtId="4" fontId="0" fillId="7" borderId="16" xfId="0" applyNumberFormat="1" applyFont="1" applyFill="1" applyBorder="1"/>
    <xf numFmtId="4" fontId="0" fillId="6" borderId="16" xfId="0" applyNumberFormat="1" applyFont="1" applyFill="1" applyBorder="1"/>
    <xf numFmtId="3" fontId="14" fillId="0" borderId="30" xfId="0" applyNumberFormat="1" applyFont="1" applyBorder="1"/>
    <xf numFmtId="4" fontId="2" fillId="0" borderId="16" xfId="0" applyNumberFormat="1" applyFont="1" applyFill="1" applyBorder="1" applyAlignment="1">
      <alignment vertical="center"/>
    </xf>
    <xf numFmtId="4" fontId="2" fillId="0" borderId="0" xfId="0" applyNumberFormat="1" applyFont="1" applyFill="1" applyBorder="1"/>
    <xf numFmtId="164" fontId="20" fillId="0" borderId="0" xfId="0" applyNumberFormat="1" applyFont="1"/>
    <xf numFmtId="4" fontId="0" fillId="0" borderId="30" xfId="0" applyNumberFormat="1" applyFont="1" applyBorder="1"/>
    <xf numFmtId="3" fontId="14" fillId="0" borderId="30" xfId="0" applyNumberFormat="1" applyFont="1" applyFill="1" applyBorder="1"/>
    <xf numFmtId="0" fontId="23" fillId="0" borderId="0" xfId="0" applyFont="1" applyFill="1"/>
    <xf numFmtId="3" fontId="3" fillId="0" borderId="0" xfId="0" applyNumberFormat="1" applyFont="1"/>
    <xf numFmtId="0" fontId="11" fillId="3" borderId="27" xfId="0" applyNumberFormat="1" applyFont="1" applyFill="1" applyBorder="1" applyAlignment="1">
      <alignment horizontal="center" vertical="center" wrapText="1"/>
    </xf>
    <xf numFmtId="0" fontId="11" fillId="3" borderId="28" xfId="0" applyNumberFormat="1" applyFont="1" applyFill="1" applyBorder="1" applyAlignment="1">
      <alignment horizontal="center" vertical="center" wrapText="1"/>
    </xf>
    <xf numFmtId="4" fontId="0" fillId="5" borderId="11" xfId="0" applyNumberFormat="1" applyFont="1" applyFill="1" applyBorder="1" applyAlignment="1">
      <alignment vertical="center"/>
    </xf>
    <xf numFmtId="4" fontId="14" fillId="5" borderId="3" xfId="0" applyNumberFormat="1" applyFont="1" applyFill="1" applyBorder="1"/>
    <xf numFmtId="4" fontId="0" fillId="0" borderId="9" xfId="0" applyNumberFormat="1" applyFont="1" applyFill="1" applyBorder="1"/>
    <xf numFmtId="4" fontId="2" fillId="5" borderId="19" xfId="0" applyNumberFormat="1" applyFont="1" applyFill="1" applyBorder="1" applyAlignment="1"/>
    <xf numFmtId="4" fontId="2" fillId="0" borderId="0" xfId="0" applyNumberFormat="1" applyFont="1" applyFill="1" applyBorder="1" applyAlignment="1"/>
    <xf numFmtId="4" fontId="2" fillId="5" borderId="39" xfId="0" applyNumberFormat="1" applyFont="1" applyFill="1" applyBorder="1"/>
    <xf numFmtId="0" fontId="20" fillId="0" borderId="0" xfId="0" applyFont="1"/>
    <xf numFmtId="4" fontId="20" fillId="0" borderId="0" xfId="0" applyNumberFormat="1" applyFont="1"/>
    <xf numFmtId="0" fontId="0" fillId="0" borderId="35" xfId="0" applyFont="1" applyFill="1" applyBorder="1"/>
    <xf numFmtId="4" fontId="0" fillId="0" borderId="9" xfId="0" applyNumberFormat="1" applyFont="1" applyFill="1" applyBorder="1" applyAlignment="1">
      <alignment vertical="center"/>
    </xf>
    <xf numFmtId="4" fontId="1" fillId="5" borderId="11" xfId="0" applyNumberFormat="1" applyFont="1" applyFill="1" applyBorder="1" applyAlignment="1">
      <alignment vertical="center"/>
    </xf>
    <xf numFmtId="4" fontId="19" fillId="0" borderId="16" xfId="0" applyNumberFormat="1" applyFont="1" applyFill="1" applyBorder="1"/>
    <xf numFmtId="4" fontId="19" fillId="0" borderId="15" xfId="0" applyNumberFormat="1" applyFont="1" applyFill="1" applyBorder="1"/>
    <xf numFmtId="3" fontId="14" fillId="5" borderId="13" xfId="0" applyNumberFormat="1" applyFont="1" applyFill="1" applyBorder="1"/>
    <xf numFmtId="4" fontId="14" fillId="0" borderId="15" xfId="0" applyNumberFormat="1" applyFont="1" applyFill="1" applyBorder="1"/>
    <xf numFmtId="4" fontId="19" fillId="0" borderId="16" xfId="0" applyNumberFormat="1" applyFont="1" applyFill="1" applyBorder="1" applyAlignment="1">
      <alignment vertical="center"/>
    </xf>
    <xf numFmtId="4" fontId="18" fillId="0" borderId="0" xfId="0" applyNumberFormat="1" applyFont="1"/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4" fontId="0" fillId="7" borderId="34" xfId="0" applyNumberFormat="1" applyFont="1" applyFill="1" applyBorder="1"/>
    <xf numFmtId="4" fontId="0" fillId="7" borderId="30" xfId="0" applyNumberFormat="1" applyFont="1" applyFill="1" applyBorder="1"/>
    <xf numFmtId="4" fontId="14" fillId="7" borderId="30" xfId="0" applyNumberFormat="1" applyFont="1" applyFill="1" applyBorder="1"/>
    <xf numFmtId="4" fontId="14" fillId="5" borderId="30" xfId="0" applyNumberFormat="1" applyFont="1" applyFill="1" applyBorder="1"/>
    <xf numFmtId="0" fontId="0" fillId="3" borderId="7" xfId="0" applyFont="1" applyFill="1" applyBorder="1" applyAlignment="1">
      <alignment horizontal="center"/>
    </xf>
    <xf numFmtId="0" fontId="0" fillId="0" borderId="8" xfId="0" applyFont="1" applyFill="1" applyBorder="1"/>
    <xf numFmtId="4" fontId="14" fillId="7" borderId="41" xfId="0" applyNumberFormat="1" applyFont="1" applyFill="1" applyBorder="1"/>
    <xf numFmtId="4" fontId="19" fillId="7" borderId="30" xfId="0" applyNumberFormat="1" applyFont="1" applyFill="1" applyBorder="1"/>
    <xf numFmtId="0" fontId="3" fillId="0" borderId="16" xfId="0" applyFont="1" applyBorder="1"/>
    <xf numFmtId="0" fontId="3" fillId="0" borderId="0" xfId="0" applyFont="1" applyBorder="1"/>
    <xf numFmtId="4" fontId="0" fillId="0" borderId="9" xfId="0" applyNumberFormat="1" applyFont="1" applyBorder="1"/>
    <xf numFmtId="4" fontId="0" fillId="7" borderId="41" xfId="0" applyNumberFormat="1" applyFont="1" applyFill="1" applyBorder="1"/>
    <xf numFmtId="0" fontId="14" fillId="5" borderId="33" xfId="0" applyFont="1" applyFill="1" applyBorder="1" applyAlignment="1">
      <alignment vertical="center"/>
    </xf>
    <xf numFmtId="4" fontId="14" fillId="5" borderId="3" xfId="0" applyNumberFormat="1" applyFont="1" applyFill="1" applyBorder="1" applyAlignment="1">
      <alignment vertical="center"/>
    </xf>
    <xf numFmtId="4" fontId="14" fillId="5" borderId="34" xfId="0" applyNumberFormat="1" applyFont="1" applyFill="1" applyBorder="1" applyAlignment="1">
      <alignment vertical="center"/>
    </xf>
    <xf numFmtId="4" fontId="0" fillId="7" borderId="30" xfId="0" applyNumberFormat="1" applyFont="1" applyFill="1" applyBorder="1" applyAlignment="1">
      <alignment vertical="center"/>
    </xf>
    <xf numFmtId="4" fontId="14" fillId="5" borderId="29" xfId="0" applyNumberFormat="1" applyFont="1" applyFill="1" applyBorder="1" applyAlignment="1">
      <alignment vertical="center"/>
    </xf>
    <xf numFmtId="4" fontId="14" fillId="7" borderId="30" xfId="0" applyNumberFormat="1" applyFont="1" applyFill="1" applyBorder="1" applyAlignment="1">
      <alignment vertical="center"/>
    </xf>
    <xf numFmtId="4" fontId="19" fillId="7" borderId="30" xfId="0" applyNumberFormat="1" applyFont="1" applyFill="1" applyBorder="1" applyAlignment="1">
      <alignment vertical="center"/>
    </xf>
    <xf numFmtId="4" fontId="19" fillId="5" borderId="29" xfId="0" applyNumberFormat="1" applyFont="1" applyFill="1" applyBorder="1" applyAlignment="1">
      <alignment vertical="center"/>
    </xf>
    <xf numFmtId="4" fontId="19" fillId="7" borderId="41" xfId="0" applyNumberFormat="1" applyFont="1" applyFill="1" applyBorder="1" applyAlignment="1">
      <alignment vertical="center"/>
    </xf>
    <xf numFmtId="0" fontId="2" fillId="5" borderId="15" xfId="0" applyFont="1" applyFill="1" applyBorder="1"/>
    <xf numFmtId="4" fontId="0" fillId="5" borderId="2" xfId="0" applyNumberFormat="1" applyFont="1" applyFill="1" applyBorder="1"/>
    <xf numFmtId="4" fontId="0" fillId="0" borderId="15" xfId="0" applyNumberFormat="1" applyFont="1" applyBorder="1"/>
    <xf numFmtId="4" fontId="0" fillId="0" borderId="15" xfId="0" applyNumberFormat="1" applyFont="1" applyFill="1" applyBorder="1"/>
    <xf numFmtId="4" fontId="0" fillId="5" borderId="15" xfId="0" applyNumberFormat="1" applyFont="1" applyFill="1" applyBorder="1"/>
    <xf numFmtId="4" fontId="0" fillId="0" borderId="42" xfId="0" applyNumberFormat="1" applyFont="1" applyBorder="1"/>
    <xf numFmtId="4" fontId="0" fillId="0" borderId="10" xfId="0" applyNumberFormat="1" applyFont="1" applyBorder="1"/>
    <xf numFmtId="0" fontId="10" fillId="3" borderId="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2" fillId="3" borderId="6" xfId="0" applyNumberFormat="1" applyFont="1" applyFill="1" applyBorder="1" applyAlignment="1">
      <alignment horizontal="center" vertical="center" wrapText="1"/>
    </xf>
    <xf numFmtId="0" fontId="12" fillId="3" borderId="11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11" fillId="3" borderId="10" xfId="0" applyNumberFormat="1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 wrapText="1"/>
    </xf>
    <xf numFmtId="0" fontId="10" fillId="3" borderId="39" xfId="0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9" xfId="0" applyNumberFormat="1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13" fillId="4" borderId="3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0" fillId="3" borderId="23" xfId="0" applyFont="1" applyFill="1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horizontal="center" vertical="center"/>
    </xf>
    <xf numFmtId="0" fontId="10" fillId="3" borderId="26" xfId="0" applyFont="1" applyFill="1" applyBorder="1" applyAlignment="1">
      <alignment horizontal="center" vertical="center"/>
    </xf>
    <xf numFmtId="0" fontId="11" fillId="3" borderId="25" xfId="0" applyNumberFormat="1" applyFont="1" applyFill="1" applyBorder="1" applyAlignment="1">
      <alignment horizontal="center" vertical="center" wrapText="1"/>
    </xf>
    <xf numFmtId="0" fontId="11" fillId="3" borderId="26" xfId="0" applyNumberFormat="1" applyFont="1" applyFill="1" applyBorder="1" applyAlignment="1">
      <alignment horizontal="center" vertical="center" wrapText="1"/>
    </xf>
    <xf numFmtId="0" fontId="11" fillId="4" borderId="27" xfId="0" applyNumberFormat="1" applyFont="1" applyFill="1" applyBorder="1" applyAlignment="1">
      <alignment horizontal="center" vertical="center" wrapText="1"/>
    </xf>
    <xf numFmtId="0" fontId="11" fillId="4" borderId="28" xfId="0" applyNumberFormat="1" applyFont="1" applyFill="1" applyBorder="1" applyAlignment="1">
      <alignment horizontal="center" vertical="center" wrapText="1"/>
    </xf>
    <xf numFmtId="0" fontId="11" fillId="4" borderId="3" xfId="0" applyNumberFormat="1" applyFont="1" applyFill="1" applyBorder="1" applyAlignment="1">
      <alignment horizontal="center" vertical="center" wrapText="1"/>
    </xf>
    <xf numFmtId="0" fontId="11" fillId="4" borderId="9" xfId="0" applyNumberFormat="1" applyFont="1" applyFill="1" applyBorder="1" applyAlignment="1">
      <alignment horizontal="center" vertical="center" wrapText="1"/>
    </xf>
    <xf numFmtId="0" fontId="11" fillId="4" borderId="34" xfId="0" applyNumberFormat="1" applyFont="1" applyFill="1" applyBorder="1" applyAlignment="1">
      <alignment horizontal="center" vertical="center" wrapText="1"/>
    </xf>
    <xf numFmtId="0" fontId="11" fillId="4" borderId="40" xfId="0" applyNumberFormat="1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FF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45"/>
  <sheetViews>
    <sheetView tabSelected="1" topLeftCell="A22" zoomScale="87" zoomScaleNormal="87" workbookViewId="0">
      <selection activeCell="D34" sqref="D34:J34"/>
    </sheetView>
  </sheetViews>
  <sheetFormatPr defaultRowHeight="15" x14ac:dyDescent="0.25"/>
  <cols>
    <col min="1" max="1" width="14.42578125" customWidth="1"/>
    <col min="2" max="3" width="37.5703125" customWidth="1"/>
    <col min="4" max="4" width="29.7109375" customWidth="1"/>
    <col min="5" max="6" width="23.28515625" customWidth="1"/>
    <col min="7" max="7" width="28.5703125" customWidth="1"/>
    <col min="8" max="8" width="24" customWidth="1"/>
    <col min="9" max="10" width="24.85546875" customWidth="1"/>
    <col min="11" max="11" width="16.140625" customWidth="1"/>
    <col min="12" max="12" width="20.42578125" hidden="1" customWidth="1"/>
    <col min="13" max="13" width="11.28515625" bestFit="1" customWidth="1"/>
  </cols>
  <sheetData>
    <row r="1" spans="1:13" ht="31.5" x14ac:dyDescent="0.5">
      <c r="H1" s="3"/>
      <c r="I1" s="5"/>
      <c r="J1" s="85"/>
    </row>
    <row r="2" spans="1:13" ht="34.5" thickBot="1" x14ac:dyDescent="0.55000000000000004">
      <c r="A2" s="7" t="s">
        <v>56</v>
      </c>
      <c r="B2" s="7">
        <v>2020</v>
      </c>
      <c r="C2" s="7"/>
      <c r="D2" s="7"/>
      <c r="E2" s="2"/>
      <c r="F2" s="2"/>
      <c r="G2" s="2" t="s">
        <v>57</v>
      </c>
      <c r="H2" s="8"/>
      <c r="I2" s="10"/>
      <c r="J2" s="8"/>
      <c r="K2" s="2"/>
      <c r="L2" s="2"/>
      <c r="M2" s="2"/>
    </row>
    <row r="3" spans="1:13" ht="15" customHeight="1" x14ac:dyDescent="0.3">
      <c r="A3" s="148" t="s">
        <v>0</v>
      </c>
      <c r="B3" s="150" t="s">
        <v>1</v>
      </c>
      <c r="C3" s="158" t="s">
        <v>59</v>
      </c>
      <c r="D3" s="158" t="s">
        <v>70</v>
      </c>
      <c r="E3" s="156" t="s">
        <v>72</v>
      </c>
      <c r="F3" s="156" t="s">
        <v>64</v>
      </c>
      <c r="G3" s="156" t="s">
        <v>65</v>
      </c>
      <c r="H3" s="152" t="s">
        <v>60</v>
      </c>
      <c r="I3" s="153"/>
      <c r="J3" s="160" t="s">
        <v>71</v>
      </c>
      <c r="L3" s="154" t="s">
        <v>3</v>
      </c>
    </row>
    <row r="4" spans="1:13" ht="135.75" customHeight="1" thickBot="1" x14ac:dyDescent="0.3">
      <c r="A4" s="149"/>
      <c r="B4" s="151"/>
      <c r="C4" s="159"/>
      <c r="D4" s="159"/>
      <c r="E4" s="157"/>
      <c r="F4" s="157"/>
      <c r="G4" s="157"/>
      <c r="H4" s="11" t="s">
        <v>49</v>
      </c>
      <c r="I4" s="11" t="s">
        <v>51</v>
      </c>
      <c r="J4" s="161"/>
      <c r="L4" s="155" t="s">
        <v>5</v>
      </c>
    </row>
    <row r="5" spans="1:13" s="1" customFormat="1" ht="15" customHeight="1" x14ac:dyDescent="0.25">
      <c r="A5" s="12">
        <v>3110</v>
      </c>
      <c r="B5" s="13" t="s">
        <v>6</v>
      </c>
      <c r="C5" s="13"/>
      <c r="D5" s="114">
        <v>0</v>
      </c>
      <c r="E5" s="72"/>
      <c r="F5" s="142"/>
      <c r="G5" s="72"/>
      <c r="H5" s="72"/>
      <c r="I5" s="72"/>
      <c r="J5" s="120">
        <f>D5+E5+F5-H5</f>
        <v>0</v>
      </c>
      <c r="K5" s="14"/>
      <c r="L5" s="15" t="e">
        <f>IF(J5&gt;0,#REF!+#REF!+J5-#REF!,#REF!+#REF!-#REF!)</f>
        <v>#REF!</v>
      </c>
    </row>
    <row r="6" spans="1:13" s="1" customFormat="1" ht="15" customHeight="1" x14ac:dyDescent="0.25">
      <c r="A6" s="16">
        <v>3111</v>
      </c>
      <c r="B6" s="17" t="s">
        <v>7</v>
      </c>
      <c r="C6" s="17">
        <v>983100003</v>
      </c>
      <c r="D6" s="115">
        <v>211613</v>
      </c>
      <c r="E6" s="56">
        <v>-2</v>
      </c>
      <c r="F6" s="143"/>
      <c r="G6" s="56">
        <f>127050+1656937.26</f>
        <v>1783987.26</v>
      </c>
      <c r="H6" s="56"/>
      <c r="I6" s="56">
        <v>4559446.54</v>
      </c>
      <c r="J6" s="121">
        <f t="shared" ref="J6:J33" si="0">D6+E6+F6-H6</f>
        <v>211611</v>
      </c>
      <c r="K6" s="14"/>
      <c r="L6" s="18" t="e">
        <f>IF(J6&gt;0,#REF!+#REF!+J6-#REF!,#REF!+#REF!-#REF!)</f>
        <v>#REF!</v>
      </c>
    </row>
    <row r="7" spans="1:13" s="1" customFormat="1" ht="15" customHeight="1" x14ac:dyDescent="0.25">
      <c r="A7" s="16">
        <v>3112</v>
      </c>
      <c r="B7" s="17" t="s">
        <v>8</v>
      </c>
      <c r="C7" s="17">
        <v>983100004</v>
      </c>
      <c r="D7" s="115">
        <v>77280</v>
      </c>
      <c r="E7" s="56">
        <v>0</v>
      </c>
      <c r="F7" s="143"/>
      <c r="G7" s="56"/>
      <c r="H7" s="56"/>
      <c r="I7" s="56"/>
      <c r="J7" s="121">
        <f t="shared" si="0"/>
        <v>77280</v>
      </c>
      <c r="K7" s="14"/>
      <c r="L7" s="18" t="e">
        <f>IF(J7&gt;0,#REF!+#REF!+J7-#REF!,#REF!+#REF!-#REF!)</f>
        <v>#REF!</v>
      </c>
    </row>
    <row r="8" spans="1:13" s="1" customFormat="1" ht="15" customHeight="1" x14ac:dyDescent="0.25">
      <c r="A8" s="16">
        <v>3113</v>
      </c>
      <c r="B8" s="17" t="s">
        <v>9</v>
      </c>
      <c r="C8" s="17">
        <v>983100005</v>
      </c>
      <c r="D8" s="115">
        <v>10801</v>
      </c>
      <c r="E8" s="56">
        <v>21462</v>
      </c>
      <c r="F8" s="144"/>
      <c r="G8" s="129"/>
      <c r="H8" s="129"/>
      <c r="I8" s="128"/>
      <c r="J8" s="121">
        <f t="shared" si="0"/>
        <v>32263</v>
      </c>
      <c r="K8" s="14"/>
      <c r="L8" s="18" t="e">
        <f>IF(J8&gt;0,#REF!+#REF!+J8-#REF!,#REF!+#REF!-#REF!)</f>
        <v>#REF!</v>
      </c>
    </row>
    <row r="9" spans="1:13" s="1" customFormat="1" ht="15" customHeight="1" x14ac:dyDescent="0.25">
      <c r="A9" s="16">
        <v>3120</v>
      </c>
      <c r="B9" s="19" t="s">
        <v>10</v>
      </c>
      <c r="C9" s="21"/>
      <c r="D9" s="54">
        <v>0</v>
      </c>
      <c r="E9" s="53"/>
      <c r="F9" s="145"/>
      <c r="G9" s="53"/>
      <c r="H9" s="53"/>
      <c r="I9" s="53"/>
      <c r="J9" s="86">
        <f t="shared" si="0"/>
        <v>0</v>
      </c>
      <c r="K9" s="14"/>
      <c r="L9" s="15" t="e">
        <f>IF(J9&gt;0,#REF!+#REF!+J9-#REF!,#REF!+#REF!-#REF!)</f>
        <v>#REF!</v>
      </c>
    </row>
    <row r="10" spans="1:13" s="1" customFormat="1" ht="15" customHeight="1" x14ac:dyDescent="0.25">
      <c r="A10" s="16">
        <v>3122</v>
      </c>
      <c r="B10" s="17" t="s">
        <v>11</v>
      </c>
      <c r="C10" s="17">
        <v>983100006</v>
      </c>
      <c r="D10" s="115">
        <v>299090.67</v>
      </c>
      <c r="E10" s="56">
        <v>381338</v>
      </c>
      <c r="F10" s="143">
        <v>-1173655.1200000001</v>
      </c>
      <c r="G10" s="56"/>
      <c r="H10" s="56">
        <v>321307.74</v>
      </c>
      <c r="I10" s="56"/>
      <c r="J10" s="121">
        <f t="shared" si="0"/>
        <v>-814534.19000000018</v>
      </c>
      <c r="K10" s="14"/>
      <c r="L10" s="18" t="e">
        <f>IF(J10&gt;0,#REF!+#REF!+J10-#REF!,#REF!+#REF!-#REF!)</f>
        <v>#REF!</v>
      </c>
    </row>
    <row r="11" spans="1:13" s="1" customFormat="1" ht="15" customHeight="1" x14ac:dyDescent="0.25">
      <c r="A11" s="16">
        <v>3123</v>
      </c>
      <c r="B11" s="17" t="s">
        <v>12</v>
      </c>
      <c r="C11" s="17">
        <v>983100007</v>
      </c>
      <c r="D11" s="115">
        <v>337859.06999999983</v>
      </c>
      <c r="E11" s="56">
        <v>635042</v>
      </c>
      <c r="F11" s="143">
        <v>1235344.3700000001</v>
      </c>
      <c r="G11" s="51">
        <f>14124.04+538.2+538.2+538.2</f>
        <v>15738.640000000003</v>
      </c>
      <c r="H11" s="51">
        <v>849967.56</v>
      </c>
      <c r="I11" s="51">
        <v>18532.34</v>
      </c>
      <c r="J11" s="121">
        <f t="shared" si="0"/>
        <v>1358277.88</v>
      </c>
      <c r="K11" s="14"/>
      <c r="L11" s="18" t="e">
        <f>IF(J11&gt;0,#REF!+#REF!+J11-#REF!,#REF!+#REF!-#REF!)</f>
        <v>#REF!</v>
      </c>
    </row>
    <row r="12" spans="1:13" s="1" customFormat="1" ht="15" customHeight="1" x14ac:dyDescent="0.25">
      <c r="A12" s="16">
        <v>3125</v>
      </c>
      <c r="B12" s="17" t="s">
        <v>13</v>
      </c>
      <c r="C12" s="17">
        <v>983100008</v>
      </c>
      <c r="D12" s="115">
        <v>135595.56</v>
      </c>
      <c r="E12" s="56">
        <v>26050</v>
      </c>
      <c r="F12" s="143">
        <v>1050000</v>
      </c>
      <c r="G12" s="56">
        <v>605</v>
      </c>
      <c r="H12" s="56"/>
      <c r="I12" s="56">
        <v>907.5</v>
      </c>
      <c r="J12" s="121">
        <f t="shared" si="0"/>
        <v>1211645.56</v>
      </c>
      <c r="K12" s="14"/>
      <c r="L12" s="18" t="e">
        <f>IF(J12&gt;0,#REF!+#REF!+J12-#REF!,#REF!+#REF!-#REF!)</f>
        <v>#REF!</v>
      </c>
    </row>
    <row r="13" spans="1:13" s="1" customFormat="1" ht="15" customHeight="1" x14ac:dyDescent="0.25">
      <c r="A13" s="16">
        <v>3127</v>
      </c>
      <c r="B13" s="17" t="s">
        <v>14</v>
      </c>
      <c r="C13" s="17">
        <v>983100009</v>
      </c>
      <c r="D13" s="115">
        <v>184174.13</v>
      </c>
      <c r="E13" s="56">
        <v>29323</v>
      </c>
      <c r="F13" s="143">
        <v>-39869.5</v>
      </c>
      <c r="G13" s="56"/>
      <c r="H13" s="56"/>
      <c r="I13" s="56"/>
      <c r="J13" s="121">
        <f t="shared" si="0"/>
        <v>173627.63</v>
      </c>
      <c r="K13" s="14"/>
      <c r="L13" s="18" t="e">
        <f>IF(J13&gt;0,#REF!+#REF!+J13-#REF!,#REF!+#REF!-#REF!)</f>
        <v>#REF!</v>
      </c>
    </row>
    <row r="14" spans="1:13" s="1" customFormat="1" ht="15" customHeight="1" x14ac:dyDescent="0.25">
      <c r="A14" s="16">
        <v>3130</v>
      </c>
      <c r="B14" s="19" t="s">
        <v>15</v>
      </c>
      <c r="C14" s="21"/>
      <c r="D14" s="54">
        <v>0</v>
      </c>
      <c r="E14" s="53"/>
      <c r="F14" s="145"/>
      <c r="G14" s="53"/>
      <c r="H14" s="53"/>
      <c r="I14" s="53"/>
      <c r="J14" s="86">
        <f t="shared" si="0"/>
        <v>0</v>
      </c>
      <c r="K14" s="14"/>
      <c r="L14" s="15" t="e">
        <f>IF(J14&gt;0,#REF!+#REF!+J14-#REF!,#REF!+#REF!-#REF!)</f>
        <v>#REF!</v>
      </c>
    </row>
    <row r="15" spans="1:13" s="1" customFormat="1" ht="15" customHeight="1" x14ac:dyDescent="0.25">
      <c r="A15" s="16">
        <v>3131</v>
      </c>
      <c r="B15" s="17" t="s">
        <v>16</v>
      </c>
      <c r="C15" s="17">
        <v>9831000010</v>
      </c>
      <c r="D15" s="115">
        <v>1475174.0999999999</v>
      </c>
      <c r="E15" s="51">
        <v>73426.25</v>
      </c>
      <c r="F15" s="144"/>
      <c r="G15" s="51"/>
      <c r="H15" s="51">
        <v>840.7</v>
      </c>
      <c r="I15" s="51"/>
      <c r="J15" s="121">
        <f t="shared" si="0"/>
        <v>1547759.65</v>
      </c>
      <c r="K15" s="14"/>
      <c r="L15" s="18" t="e">
        <f>IF(J15&gt;0,#REF!+#REF!+J15-#REF!,#REF!+#REF!-#REF!)</f>
        <v>#REF!</v>
      </c>
    </row>
    <row r="16" spans="1:13" s="1" customFormat="1" ht="15" customHeight="1" x14ac:dyDescent="0.25">
      <c r="A16" s="16">
        <v>3132</v>
      </c>
      <c r="B16" s="17" t="s">
        <v>17</v>
      </c>
      <c r="C16" s="17">
        <v>9831000011</v>
      </c>
      <c r="D16" s="115">
        <v>627005.09000000032</v>
      </c>
      <c r="E16" s="56">
        <v>883556</v>
      </c>
      <c r="F16" s="143">
        <v>-243.88</v>
      </c>
      <c r="G16" s="51"/>
      <c r="H16" s="51"/>
      <c r="I16" s="51"/>
      <c r="J16" s="121">
        <f t="shared" si="0"/>
        <v>1510317.2100000004</v>
      </c>
      <c r="K16" s="14"/>
      <c r="L16" s="18" t="e">
        <f>IF(J16&gt;0,#REF!+#REF!+J16-#REF!,#REF!+#REF!-#REF!)</f>
        <v>#REF!</v>
      </c>
    </row>
    <row r="17" spans="1:12" s="1" customFormat="1" ht="15" customHeight="1" x14ac:dyDescent="0.25">
      <c r="A17" s="16">
        <v>3133</v>
      </c>
      <c r="B17" s="17" t="s">
        <v>18</v>
      </c>
      <c r="C17" s="17">
        <v>9831000012</v>
      </c>
      <c r="D17" s="115">
        <v>168479.44999999995</v>
      </c>
      <c r="E17" s="51">
        <v>383147.21</v>
      </c>
      <c r="F17" s="143"/>
      <c r="G17" s="32"/>
      <c r="H17" s="32">
        <v>6857.3</v>
      </c>
      <c r="I17" s="32">
        <v>456215.8</v>
      </c>
      <c r="J17" s="121">
        <f t="shared" si="0"/>
        <v>544769.35999999987</v>
      </c>
      <c r="K17" s="14"/>
      <c r="L17" s="18" t="e">
        <f>IF(J17&gt;0,#REF!+#REF!+J17-#REF!,#REF!+#REF!-#REF!)</f>
        <v>#REF!</v>
      </c>
    </row>
    <row r="18" spans="1:12" s="1" customFormat="1" ht="15" customHeight="1" x14ac:dyDescent="0.25">
      <c r="A18" s="16">
        <v>3134</v>
      </c>
      <c r="B18" s="17" t="s">
        <v>19</v>
      </c>
      <c r="C18" s="17">
        <v>9831000013</v>
      </c>
      <c r="D18" s="113">
        <v>-239635.58999999962</v>
      </c>
      <c r="E18" s="56">
        <v>531506</v>
      </c>
      <c r="F18" s="143"/>
      <c r="G18" s="56"/>
      <c r="H18" s="56">
        <v>173973.8</v>
      </c>
      <c r="I18" s="56"/>
      <c r="J18" s="121">
        <f t="shared" si="0"/>
        <v>117896.61000000039</v>
      </c>
      <c r="K18" s="94" t="s">
        <v>62</v>
      </c>
      <c r="L18" s="18" t="e">
        <f>IF(J18&gt;0,#REF!+#REF!+J18-#REF!,#REF!+#REF!-#REF!)</f>
        <v>#REF!</v>
      </c>
    </row>
    <row r="19" spans="1:12" s="1" customFormat="1" ht="15" customHeight="1" x14ac:dyDescent="0.25">
      <c r="A19" s="16">
        <v>3135</v>
      </c>
      <c r="B19" s="17" t="s">
        <v>20</v>
      </c>
      <c r="C19" s="17">
        <v>9831000014</v>
      </c>
      <c r="D19" s="115">
        <v>1023295.74</v>
      </c>
      <c r="E19" s="56">
        <v>279804</v>
      </c>
      <c r="F19" s="143">
        <v>-12813.9</v>
      </c>
      <c r="G19" s="56">
        <v>323457.2</v>
      </c>
      <c r="H19" s="56">
        <v>302.5</v>
      </c>
      <c r="I19" s="56">
        <v>323457.2</v>
      </c>
      <c r="J19" s="121">
        <f t="shared" si="0"/>
        <v>1289983.3400000001</v>
      </c>
      <c r="K19" s="14"/>
      <c r="L19" s="18" t="e">
        <f>IF(J19&gt;0,#REF!+#REF!+J19-#REF!,#REF!+#REF!-#REF!)</f>
        <v>#REF!</v>
      </c>
    </row>
    <row r="20" spans="1:12" s="1" customFormat="1" ht="15" customHeight="1" x14ac:dyDescent="0.25">
      <c r="A20" s="16">
        <v>3140</v>
      </c>
      <c r="B20" s="19" t="s">
        <v>21</v>
      </c>
      <c r="C20" s="21"/>
      <c r="D20" s="54">
        <v>0</v>
      </c>
      <c r="E20" s="53"/>
      <c r="F20" s="145"/>
      <c r="G20" s="53"/>
      <c r="H20" s="53"/>
      <c r="I20" s="53"/>
      <c r="J20" s="86">
        <f t="shared" si="0"/>
        <v>0</v>
      </c>
      <c r="K20" s="14"/>
      <c r="L20" s="15" t="e">
        <f>IF(J20&gt;0,#REF!+#REF!+J20-#REF!,#REF!+#REF!-#REF!)</f>
        <v>#REF!</v>
      </c>
    </row>
    <row r="21" spans="1:12" s="1" customFormat="1" ht="15" customHeight="1" x14ac:dyDescent="0.25">
      <c r="A21" s="16">
        <v>3141</v>
      </c>
      <c r="B21" s="17" t="s">
        <v>22</v>
      </c>
      <c r="C21" s="17">
        <v>9831000015</v>
      </c>
      <c r="D21" s="115">
        <v>627329</v>
      </c>
      <c r="E21" s="56">
        <v>125305</v>
      </c>
      <c r="F21" s="144">
        <v>-40644.47</v>
      </c>
      <c r="G21" s="56"/>
      <c r="H21" s="56"/>
      <c r="I21" s="56"/>
      <c r="J21" s="121">
        <f t="shared" si="0"/>
        <v>711989.53</v>
      </c>
      <c r="K21" s="14"/>
      <c r="L21" s="18" t="e">
        <f>IF(J21&gt;0,#REF!+#REF!+J21-#REF!,#REF!+#REF!-#REF!)</f>
        <v>#REF!</v>
      </c>
    </row>
    <row r="22" spans="1:12" s="1" customFormat="1" ht="15" customHeight="1" x14ac:dyDescent="0.25">
      <c r="A22" s="16">
        <v>3142</v>
      </c>
      <c r="B22" s="17" t="s">
        <v>23</v>
      </c>
      <c r="C22" s="17">
        <v>9831000016</v>
      </c>
      <c r="D22" s="115">
        <v>697842.19</v>
      </c>
      <c r="E22" s="56">
        <v>664202</v>
      </c>
      <c r="F22" s="144">
        <v>1500000</v>
      </c>
      <c r="G22" s="51">
        <f>605+807.3+87578.82+83661.22+1076.4</f>
        <v>173728.74000000002</v>
      </c>
      <c r="H22" s="51">
        <v>2991347.48</v>
      </c>
      <c r="I22" s="51">
        <v>716951.38</v>
      </c>
      <c r="J22" s="127">
        <f t="shared" si="0"/>
        <v>-129303.29000000004</v>
      </c>
      <c r="K22" s="14"/>
      <c r="L22" s="18" t="e">
        <f>IF(J22&gt;0,#REF!+#REF!+J22-#REF!,#REF!+#REF!-#REF!)</f>
        <v>#REF!</v>
      </c>
    </row>
    <row r="23" spans="1:12" s="1" customFormat="1" ht="15" customHeight="1" x14ac:dyDescent="0.25">
      <c r="A23" s="16">
        <v>3143</v>
      </c>
      <c r="B23" s="17" t="s">
        <v>24</v>
      </c>
      <c r="C23" s="17">
        <v>9831000017</v>
      </c>
      <c r="D23" s="115">
        <v>1744703.9600000002</v>
      </c>
      <c r="E23" s="56">
        <v>271277</v>
      </c>
      <c r="F23" s="143"/>
      <c r="G23" s="56"/>
      <c r="H23" s="56"/>
      <c r="I23" s="56"/>
      <c r="J23" s="121">
        <f t="shared" si="0"/>
        <v>2015980.9600000002</v>
      </c>
      <c r="K23" s="14"/>
      <c r="L23" s="18" t="e">
        <f>IF(J23&gt;0,#REF!+#REF!+J23-#REF!,#REF!+#REF!-#REF!)</f>
        <v>#REF!</v>
      </c>
    </row>
    <row r="24" spans="1:12" s="1" customFormat="1" ht="15" customHeight="1" x14ac:dyDescent="0.25">
      <c r="A24" s="16">
        <v>3144</v>
      </c>
      <c r="B24" s="17" t="s">
        <v>25</v>
      </c>
      <c r="C24" s="17">
        <v>9831000018</v>
      </c>
      <c r="D24" s="115">
        <v>62830.22</v>
      </c>
      <c r="E24" s="56">
        <v>26985</v>
      </c>
      <c r="F24" s="143"/>
      <c r="G24" s="56"/>
      <c r="H24" s="56">
        <v>65219</v>
      </c>
      <c r="I24" s="56"/>
      <c r="J24" s="121">
        <f t="shared" si="0"/>
        <v>24596.22</v>
      </c>
      <c r="K24" s="14"/>
      <c r="L24" s="18" t="e">
        <f>IF(J24&gt;0,#REF!+#REF!+J24-#REF!,#REF!+#REF!-#REF!)</f>
        <v>#REF!</v>
      </c>
    </row>
    <row r="25" spans="1:12" s="1" customFormat="1" ht="15" customHeight="1" x14ac:dyDescent="0.25">
      <c r="A25" s="16">
        <v>3145</v>
      </c>
      <c r="B25" s="17" t="s">
        <v>26</v>
      </c>
      <c r="C25" s="17">
        <v>9831000019</v>
      </c>
      <c r="D25" s="115">
        <v>1616146.1000000003</v>
      </c>
      <c r="E25" s="56">
        <v>856827</v>
      </c>
      <c r="F25" s="143">
        <v>-1500000</v>
      </c>
      <c r="G25" s="51"/>
      <c r="H25" s="51"/>
      <c r="I25" s="51"/>
      <c r="J25" s="121">
        <f t="shared" si="0"/>
        <v>972973.10000000056</v>
      </c>
      <c r="K25" s="14"/>
      <c r="L25" s="18" t="e">
        <f>IF(J25&gt;0,#REF!+#REF!+J25-#REF!,#REF!+#REF!-#REF!)</f>
        <v>#REF!</v>
      </c>
    </row>
    <row r="26" spans="1:12" s="1" customFormat="1" ht="15" customHeight="1" x14ac:dyDescent="0.25">
      <c r="A26" s="16">
        <v>3150</v>
      </c>
      <c r="B26" s="19" t="s">
        <v>27</v>
      </c>
      <c r="C26" s="21"/>
      <c r="D26" s="54">
        <v>0</v>
      </c>
      <c r="E26" s="53"/>
      <c r="F26" s="145"/>
      <c r="G26" s="53"/>
      <c r="H26" s="53"/>
      <c r="I26" s="53"/>
      <c r="J26" s="86">
        <f t="shared" si="0"/>
        <v>0</v>
      </c>
      <c r="K26" s="14"/>
      <c r="L26" s="15" t="e">
        <f>IF(J26&gt;0,#REF!+#REF!+J26-#REF!,#REF!+#REF!-#REF!)</f>
        <v>#REF!</v>
      </c>
    </row>
    <row r="27" spans="1:12" s="1" customFormat="1" ht="15" customHeight="1" x14ac:dyDescent="0.25">
      <c r="A27" s="16">
        <v>3151</v>
      </c>
      <c r="B27" s="17" t="s">
        <v>28</v>
      </c>
      <c r="C27" s="17">
        <v>9831000020</v>
      </c>
      <c r="D27" s="115">
        <v>173664</v>
      </c>
      <c r="E27" s="56">
        <v>28449</v>
      </c>
      <c r="F27" s="143"/>
      <c r="G27" s="56"/>
      <c r="H27" s="56">
        <v>154929.79</v>
      </c>
      <c r="I27" s="56"/>
      <c r="J27" s="121">
        <f t="shared" si="0"/>
        <v>47183.209999999992</v>
      </c>
      <c r="K27" s="14"/>
      <c r="L27" s="18" t="e">
        <f>IF(J27&gt;0,#REF!+#REF!+J27-#REF!,#REF!+#REF!-#REF!)</f>
        <v>#REF!</v>
      </c>
    </row>
    <row r="28" spans="1:12" s="1" customFormat="1" ht="15" customHeight="1" x14ac:dyDescent="0.25">
      <c r="A28" s="16">
        <v>3152</v>
      </c>
      <c r="B28" s="17" t="s">
        <v>29</v>
      </c>
      <c r="C28" s="17">
        <v>9831000021</v>
      </c>
      <c r="D28" s="115">
        <v>658138</v>
      </c>
      <c r="E28" s="56">
        <v>191880</v>
      </c>
      <c r="F28" s="143"/>
      <c r="G28" s="51"/>
      <c r="H28" s="51">
        <v>571.6</v>
      </c>
      <c r="I28" s="51"/>
      <c r="J28" s="121">
        <f t="shared" si="0"/>
        <v>849446.40000000002</v>
      </c>
      <c r="K28" s="14"/>
      <c r="L28" s="18" t="e">
        <f>IF(J28&gt;0,#REF!+#REF!+J28-#REF!,#REF!+#REF!-#REF!)</f>
        <v>#REF!</v>
      </c>
    </row>
    <row r="29" spans="1:12" s="1" customFormat="1" ht="15" customHeight="1" x14ac:dyDescent="0.25">
      <c r="A29" s="16">
        <v>3153</v>
      </c>
      <c r="B29" s="17" t="s">
        <v>30</v>
      </c>
      <c r="C29" s="17">
        <v>9831000022</v>
      </c>
      <c r="D29" s="113">
        <v>-488.80000000000291</v>
      </c>
      <c r="E29" s="56">
        <v>3355</v>
      </c>
      <c r="F29" s="143"/>
      <c r="G29" s="56"/>
      <c r="H29" s="56"/>
      <c r="I29" s="56"/>
      <c r="J29" s="121">
        <f t="shared" si="0"/>
        <v>2866.1999999999971</v>
      </c>
      <c r="K29" s="20"/>
      <c r="L29" s="18" t="e">
        <f>IF(J29&gt;0,#REF!+#REF!+J29-#REF!,#REF!+#REF!-#REF!)</f>
        <v>#REF!</v>
      </c>
    </row>
    <row r="30" spans="1:12" s="1" customFormat="1" ht="15" customHeight="1" x14ac:dyDescent="0.25">
      <c r="A30" s="16">
        <v>3154</v>
      </c>
      <c r="B30" s="17" t="s">
        <v>31</v>
      </c>
      <c r="C30" s="17">
        <v>9831000023</v>
      </c>
      <c r="D30" s="113">
        <v>-2</v>
      </c>
      <c r="E30" s="56">
        <v>1</v>
      </c>
      <c r="F30" s="143"/>
      <c r="G30" s="56">
        <v>79261.05</v>
      </c>
      <c r="H30" s="56"/>
      <c r="I30" s="56">
        <v>79261.05</v>
      </c>
      <c r="J30" s="121">
        <f t="shared" si="0"/>
        <v>-1</v>
      </c>
      <c r="K30" s="20"/>
      <c r="L30" s="18" t="e">
        <f>IF(J30&gt;0,#REF!+#REF!+J30-#REF!,#REF!+#REF!-#REF!)</f>
        <v>#REF!</v>
      </c>
    </row>
    <row r="31" spans="1:12" s="1" customFormat="1" ht="15" customHeight="1" x14ac:dyDescent="0.25">
      <c r="A31" s="16"/>
      <c r="B31" s="141" t="s">
        <v>79</v>
      </c>
      <c r="C31" s="21"/>
      <c r="D31" s="54">
        <v>1517635.7300000002</v>
      </c>
      <c r="E31" s="66">
        <v>2173626</v>
      </c>
      <c r="F31" s="54">
        <v>-9005.85</v>
      </c>
      <c r="G31" s="54">
        <v>901572.04</v>
      </c>
      <c r="H31" s="54">
        <v>165893.33000000002</v>
      </c>
      <c r="I31" s="54">
        <v>901572.04</v>
      </c>
      <c r="J31" s="54">
        <v>3516362.5500000003</v>
      </c>
      <c r="K31" s="20"/>
      <c r="L31" s="15"/>
    </row>
    <row r="32" spans="1:12" s="1" customFormat="1" ht="15" customHeight="1" x14ac:dyDescent="0.25">
      <c r="A32" s="16"/>
      <c r="B32" s="141" t="s">
        <v>80</v>
      </c>
      <c r="C32" s="21"/>
      <c r="D32" s="54">
        <v>6071268.169999999</v>
      </c>
      <c r="E32" s="66">
        <v>3608587.22</v>
      </c>
      <c r="F32" s="54">
        <v>11193984.76</v>
      </c>
      <c r="G32" s="54">
        <v>1512.5</v>
      </c>
      <c r="H32" s="54">
        <v>2104965.5499999998</v>
      </c>
      <c r="I32" s="54">
        <v>1990.8600000000001</v>
      </c>
      <c r="J32" s="54">
        <v>18768874.600000001</v>
      </c>
      <c r="K32" s="20"/>
      <c r="L32" s="15"/>
    </row>
    <row r="33" spans="1:15" s="1" customFormat="1" ht="37.5" customHeight="1" thickBot="1" x14ac:dyDescent="0.3">
      <c r="A33" s="23" t="s">
        <v>67</v>
      </c>
      <c r="B33" s="17" t="s">
        <v>61</v>
      </c>
      <c r="C33" s="17"/>
      <c r="D33" s="115">
        <v>1971118.9899999998</v>
      </c>
      <c r="E33" s="147">
        <f>80613+125802+123799+92785+16257+53759</f>
        <v>493015</v>
      </c>
      <c r="F33" s="146">
        <f>40644.47+137075</f>
        <v>177719.47</v>
      </c>
      <c r="G33" s="130">
        <f>12691416.92+1916134.09</f>
        <v>14607551.01</v>
      </c>
      <c r="H33" s="130">
        <v>1351631.46</v>
      </c>
      <c r="I33" s="130">
        <f>25330716.55+2197269.17</f>
        <v>27527985.719999999</v>
      </c>
      <c r="J33" s="131">
        <f t="shared" si="0"/>
        <v>1290222</v>
      </c>
      <c r="K33" s="78"/>
      <c r="L33" s="18" t="e">
        <f>IF(#REF!&gt;0,#REF!+#REF!+#REF!-#REF!,#REF!+#REF!-#REF!)</f>
        <v>#REF!</v>
      </c>
    </row>
    <row r="34" spans="1:15" s="1" customFormat="1" ht="16.5" thickBot="1" x14ac:dyDescent="0.3">
      <c r="A34" s="24" t="s">
        <v>48</v>
      </c>
      <c r="B34" s="25"/>
      <c r="C34" s="25"/>
      <c r="D34" s="55">
        <f>SUM(D5:D33)</f>
        <v>19450917.779999997</v>
      </c>
      <c r="E34" s="55">
        <f t="shared" ref="E34:J34" si="1">SUM(E5:E33)</f>
        <v>11688161.68</v>
      </c>
      <c r="F34" s="55">
        <f t="shared" si="1"/>
        <v>12380815.880000001</v>
      </c>
      <c r="G34" s="55">
        <f t="shared" si="1"/>
        <v>17887413.440000001</v>
      </c>
      <c r="H34" s="55">
        <f t="shared" si="1"/>
        <v>8187807.8099999996</v>
      </c>
      <c r="I34" s="55">
        <f t="shared" si="1"/>
        <v>34586320.43</v>
      </c>
      <c r="J34" s="55">
        <f t="shared" si="1"/>
        <v>35332087.530000001</v>
      </c>
      <c r="K34" s="20"/>
    </row>
    <row r="35" spans="1:15" ht="17.25" x14ac:dyDescent="0.3">
      <c r="A35" s="26"/>
      <c r="B35" s="26"/>
      <c r="C35" s="26"/>
      <c r="D35" s="26"/>
      <c r="G35" s="27"/>
      <c r="H35" s="27"/>
      <c r="J35" s="29"/>
      <c r="M35" s="64"/>
      <c r="N35" s="64"/>
      <c r="O35" s="64"/>
    </row>
    <row r="36" spans="1:15" x14ac:dyDescent="0.25">
      <c r="H36" s="39"/>
      <c r="I36" s="39"/>
    </row>
    <row r="37" spans="1:15" x14ac:dyDescent="0.25">
      <c r="H37" s="39"/>
      <c r="I37" s="39"/>
    </row>
    <row r="38" spans="1:15" x14ac:dyDescent="0.25">
      <c r="H38" s="39"/>
      <c r="I38" s="39"/>
    </row>
    <row r="39" spans="1:15" x14ac:dyDescent="0.25">
      <c r="H39" s="39"/>
      <c r="I39" s="39"/>
    </row>
    <row r="40" spans="1:15" x14ac:dyDescent="0.25">
      <c r="H40" s="39"/>
      <c r="I40" s="39"/>
    </row>
    <row r="41" spans="1:15" x14ac:dyDescent="0.25">
      <c r="H41" s="39"/>
      <c r="I41" s="39"/>
    </row>
    <row r="42" spans="1:15" x14ac:dyDescent="0.25">
      <c r="H42" s="39"/>
      <c r="I42" s="39"/>
    </row>
    <row r="43" spans="1:15" x14ac:dyDescent="0.25">
      <c r="H43" s="39"/>
      <c r="I43" s="39"/>
    </row>
    <row r="44" spans="1:15" x14ac:dyDescent="0.25">
      <c r="H44" s="39"/>
      <c r="I44" s="39"/>
    </row>
    <row r="45" spans="1:15" x14ac:dyDescent="0.25">
      <c r="H45" s="39"/>
      <c r="I45" s="39"/>
    </row>
  </sheetData>
  <mergeCells count="10">
    <mergeCell ref="A3:A4"/>
    <mergeCell ref="B3:B4"/>
    <mergeCell ref="H3:I3"/>
    <mergeCell ref="L3:L4"/>
    <mergeCell ref="E3:E4"/>
    <mergeCell ref="G3:G4"/>
    <mergeCell ref="D3:D4"/>
    <mergeCell ref="C3:C4"/>
    <mergeCell ref="J3:J4"/>
    <mergeCell ref="F3:F4"/>
  </mergeCells>
  <pageMargins left="0.70866141732283472" right="0.70866141732283472" top="0.78740157480314965" bottom="0.78740157480314965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49"/>
  <sheetViews>
    <sheetView topLeftCell="A12" zoomScale="90" zoomScaleNormal="90" workbookViewId="0">
      <selection activeCell="D31" sqref="D31"/>
    </sheetView>
  </sheetViews>
  <sheetFormatPr defaultRowHeight="15" x14ac:dyDescent="0.25"/>
  <cols>
    <col min="1" max="1" width="14.42578125" customWidth="1"/>
    <col min="2" max="2" width="37.5703125" customWidth="1"/>
    <col min="3" max="3" width="19.28515625" customWidth="1"/>
    <col min="4" max="4" width="23.85546875" customWidth="1"/>
    <col min="5" max="5" width="24.28515625" customWidth="1"/>
    <col min="6" max="6" width="21.5703125" customWidth="1"/>
    <col min="7" max="7" width="16.140625" customWidth="1"/>
    <col min="8" max="8" width="20.42578125" hidden="1" customWidth="1"/>
    <col min="9" max="9" width="9.140625" customWidth="1"/>
  </cols>
  <sheetData>
    <row r="1" spans="1:9" ht="31.5" x14ac:dyDescent="0.5">
      <c r="E1" s="4"/>
      <c r="F1" s="6"/>
    </row>
    <row r="2" spans="1:9" ht="34.5" thickBot="1" x14ac:dyDescent="0.55000000000000004">
      <c r="A2" s="7" t="s">
        <v>56</v>
      </c>
      <c r="B2" s="7">
        <v>2020</v>
      </c>
      <c r="C2" s="7"/>
      <c r="D2" s="2"/>
      <c r="E2" s="9"/>
      <c r="F2" s="9"/>
      <c r="G2" s="2"/>
      <c r="H2" s="2"/>
      <c r="I2" s="2"/>
    </row>
    <row r="3" spans="1:9" ht="15" customHeight="1" x14ac:dyDescent="0.25">
      <c r="A3" s="148" t="s">
        <v>0</v>
      </c>
      <c r="B3" s="150" t="s">
        <v>1</v>
      </c>
      <c r="C3" s="158" t="s">
        <v>59</v>
      </c>
      <c r="D3" s="162" t="s">
        <v>2</v>
      </c>
      <c r="E3" s="164" t="s">
        <v>50</v>
      </c>
      <c r="F3" s="160" t="s">
        <v>4</v>
      </c>
      <c r="H3" s="154" t="s">
        <v>3</v>
      </c>
    </row>
    <row r="4" spans="1:9" ht="135.75" customHeight="1" thickBot="1" x14ac:dyDescent="0.3">
      <c r="A4" s="149"/>
      <c r="B4" s="151"/>
      <c r="C4" s="159"/>
      <c r="D4" s="163"/>
      <c r="E4" s="165"/>
      <c r="F4" s="161"/>
      <c r="H4" s="155" t="s">
        <v>5</v>
      </c>
    </row>
    <row r="5" spans="1:9" s="1" customFormat="1" ht="15" customHeight="1" x14ac:dyDescent="0.25">
      <c r="A5" s="12">
        <v>3110</v>
      </c>
      <c r="B5" s="13" t="s">
        <v>6</v>
      </c>
      <c r="C5" s="13"/>
      <c r="D5" s="79">
        <v>0</v>
      </c>
      <c r="E5" s="88"/>
      <c r="F5" s="80">
        <f t="shared" ref="F5:F46" si="0">D5-E5</f>
        <v>0</v>
      </c>
      <c r="G5" s="14"/>
      <c r="H5" s="15" t="e">
        <f>IF(#REF!&gt;0,#REF!+#REF!+#REF!-#REF!,#REF!+#REF!-#REF!)</f>
        <v>#REF!</v>
      </c>
    </row>
    <row r="6" spans="1:9" s="1" customFormat="1" ht="15" customHeight="1" x14ac:dyDescent="0.25">
      <c r="A6" s="16">
        <v>3111</v>
      </c>
      <c r="B6" s="17" t="s">
        <v>7</v>
      </c>
      <c r="C6" s="17">
        <v>493100012</v>
      </c>
      <c r="D6" s="81">
        <v>0</v>
      </c>
      <c r="E6" s="89"/>
      <c r="F6" s="82">
        <f t="shared" si="0"/>
        <v>0</v>
      </c>
      <c r="G6" s="14"/>
      <c r="H6" s="18" t="e">
        <f>IF(#REF!&gt;0,#REF!+#REF!+#REF!-#REF!,#REF!+#REF!-#REF!)</f>
        <v>#REF!</v>
      </c>
    </row>
    <row r="7" spans="1:9" s="1" customFormat="1" ht="15" customHeight="1" x14ac:dyDescent="0.25">
      <c r="A7" s="16">
        <v>3112</v>
      </c>
      <c r="B7" s="17" t="s">
        <v>8</v>
      </c>
      <c r="C7" s="17">
        <v>493100013</v>
      </c>
      <c r="D7" s="81">
        <v>0</v>
      </c>
      <c r="E7" s="89"/>
      <c r="F7" s="82">
        <f t="shared" si="0"/>
        <v>0</v>
      </c>
      <c r="G7" s="14"/>
      <c r="H7" s="18" t="e">
        <f>IF(#REF!&gt;0,#REF!+#REF!+#REF!-#REF!,#REF!+#REF!-#REF!)</f>
        <v>#REF!</v>
      </c>
    </row>
    <row r="8" spans="1:9" s="1" customFormat="1" ht="15" customHeight="1" x14ac:dyDescent="0.25">
      <c r="A8" s="16">
        <v>3113</v>
      </c>
      <c r="B8" s="17" t="s">
        <v>9</v>
      </c>
      <c r="C8" s="17">
        <v>493100014</v>
      </c>
      <c r="D8" s="81">
        <v>0</v>
      </c>
      <c r="E8" s="89"/>
      <c r="F8" s="82">
        <f t="shared" si="0"/>
        <v>0</v>
      </c>
      <c r="G8" s="14"/>
      <c r="H8" s="18" t="e">
        <f>IF(#REF!&gt;0,#REF!+#REF!+#REF!-#REF!,#REF!+#REF!-#REF!)</f>
        <v>#REF!</v>
      </c>
    </row>
    <row r="9" spans="1:9" s="1" customFormat="1" ht="15" customHeight="1" x14ac:dyDescent="0.25">
      <c r="A9" s="16">
        <v>3120</v>
      </c>
      <c r="B9" s="19" t="s">
        <v>10</v>
      </c>
      <c r="C9" s="21"/>
      <c r="D9" s="75">
        <f>SUM(D10:D13)</f>
        <v>500000</v>
      </c>
      <c r="E9" s="75">
        <f>SUM(E10:E13)</f>
        <v>500000</v>
      </c>
      <c r="F9" s="86">
        <f t="shared" si="0"/>
        <v>0</v>
      </c>
      <c r="G9" s="14"/>
      <c r="H9" s="15" t="e">
        <f>IF(#REF!&gt;0,#REF!+#REF!+#REF!-#REF!,#REF!+#REF!-#REF!)</f>
        <v>#REF!</v>
      </c>
    </row>
    <row r="10" spans="1:9" s="1" customFormat="1" ht="15" customHeight="1" x14ac:dyDescent="0.25">
      <c r="A10" s="16">
        <v>3122</v>
      </c>
      <c r="B10" s="17" t="s">
        <v>11</v>
      </c>
      <c r="C10" s="17">
        <v>493100015</v>
      </c>
      <c r="D10" s="81">
        <v>0</v>
      </c>
      <c r="E10" s="89"/>
      <c r="F10" s="82">
        <f t="shared" si="0"/>
        <v>0</v>
      </c>
      <c r="G10" s="14"/>
      <c r="H10" s="18" t="e">
        <f>IF(#REF!&gt;0,#REF!+#REF!+#REF!-#REF!,#REF!+#REF!-#REF!)</f>
        <v>#REF!</v>
      </c>
    </row>
    <row r="11" spans="1:9" s="1" customFormat="1" ht="15" customHeight="1" x14ac:dyDescent="0.25">
      <c r="A11" s="16">
        <v>3123</v>
      </c>
      <c r="B11" s="17" t="s">
        <v>12</v>
      </c>
      <c r="C11" s="17">
        <v>493100016</v>
      </c>
      <c r="D11" s="81">
        <v>500000</v>
      </c>
      <c r="E11" s="89">
        <v>500000</v>
      </c>
      <c r="F11" s="87">
        <f t="shared" si="0"/>
        <v>0</v>
      </c>
      <c r="G11" s="14"/>
      <c r="H11" s="18" t="e">
        <f>IF(#REF!&gt;0,#REF!+#REF!+#REF!-#REF!,#REF!+#REF!-#REF!)</f>
        <v>#REF!</v>
      </c>
    </row>
    <row r="12" spans="1:9" s="1" customFormat="1" ht="15" customHeight="1" x14ac:dyDescent="0.25">
      <c r="A12" s="16">
        <v>3125</v>
      </c>
      <c r="B12" s="17" t="s">
        <v>13</v>
      </c>
      <c r="C12" s="17">
        <v>493100017</v>
      </c>
      <c r="D12" s="81">
        <v>0</v>
      </c>
      <c r="E12" s="89"/>
      <c r="F12" s="83">
        <f t="shared" si="0"/>
        <v>0</v>
      </c>
      <c r="G12" s="14"/>
      <c r="H12" s="18" t="e">
        <f>IF(#REF!&gt;0,#REF!+#REF!+#REF!-#REF!,#REF!+#REF!-#REF!)</f>
        <v>#REF!</v>
      </c>
    </row>
    <row r="13" spans="1:9" s="1" customFormat="1" ht="15" customHeight="1" x14ac:dyDescent="0.25">
      <c r="A13" s="16">
        <v>3127</v>
      </c>
      <c r="B13" s="17" t="s">
        <v>14</v>
      </c>
      <c r="C13" s="17">
        <v>493100018</v>
      </c>
      <c r="D13" s="81">
        <v>0</v>
      </c>
      <c r="E13" s="89"/>
      <c r="F13" s="82">
        <f t="shared" si="0"/>
        <v>0</v>
      </c>
      <c r="G13" s="14"/>
      <c r="H13" s="18" t="e">
        <f>IF(#REF!&gt;0,#REF!+#REF!+#REF!-#REF!,#REF!+#REF!-#REF!)</f>
        <v>#REF!</v>
      </c>
    </row>
    <row r="14" spans="1:9" s="1" customFormat="1" ht="15" customHeight="1" x14ac:dyDescent="0.25">
      <c r="A14" s="16">
        <v>3130</v>
      </c>
      <c r="B14" s="19" t="s">
        <v>15</v>
      </c>
      <c r="C14" s="21"/>
      <c r="D14" s="75">
        <f>SUM(D15:D19)</f>
        <v>700000</v>
      </c>
      <c r="E14" s="75">
        <f>SUM(E15:E19)</f>
        <v>62920</v>
      </c>
      <c r="F14" s="77">
        <f t="shared" si="0"/>
        <v>637080</v>
      </c>
      <c r="G14" s="14"/>
      <c r="H14" s="15" t="e">
        <f>IF(#REF!&gt;0,#REF!+#REF!+#REF!-#REF!,#REF!+#REF!-#REF!)</f>
        <v>#REF!</v>
      </c>
    </row>
    <row r="15" spans="1:9" s="1" customFormat="1" ht="15" customHeight="1" x14ac:dyDescent="0.25">
      <c r="A15" s="16">
        <v>3131</v>
      </c>
      <c r="B15" s="17" t="s">
        <v>16</v>
      </c>
      <c r="C15" s="17">
        <v>493100019</v>
      </c>
      <c r="D15" s="81">
        <v>700000</v>
      </c>
      <c r="E15" s="89">
        <v>62920</v>
      </c>
      <c r="F15" s="82">
        <f t="shared" si="0"/>
        <v>637080</v>
      </c>
      <c r="G15" s="14"/>
      <c r="H15" s="18" t="e">
        <f>IF(#REF!&gt;0,#REF!+#REF!+#REF!-#REF!,#REF!+#REF!-#REF!)</f>
        <v>#REF!</v>
      </c>
    </row>
    <row r="16" spans="1:9" s="1" customFormat="1" ht="15" customHeight="1" x14ac:dyDescent="0.25">
      <c r="A16" s="16">
        <v>3132</v>
      </c>
      <c r="B16" s="17" t="s">
        <v>17</v>
      </c>
      <c r="C16" s="17">
        <v>493100020</v>
      </c>
      <c r="D16" s="81">
        <v>0</v>
      </c>
      <c r="E16" s="89"/>
      <c r="F16" s="82">
        <f t="shared" si="0"/>
        <v>0</v>
      </c>
      <c r="G16" s="14"/>
      <c r="H16" s="18" t="e">
        <f>IF(#REF!&gt;0,#REF!+#REF!+#REF!-#REF!,#REF!+#REF!-#REF!)</f>
        <v>#REF!</v>
      </c>
    </row>
    <row r="17" spans="1:8" s="1" customFormat="1" ht="15" customHeight="1" x14ac:dyDescent="0.25">
      <c r="A17" s="16">
        <v>3133</v>
      </c>
      <c r="B17" s="17" t="s">
        <v>18</v>
      </c>
      <c r="C17" s="17">
        <v>493100021</v>
      </c>
      <c r="D17" s="81">
        <v>0</v>
      </c>
      <c r="E17" s="89"/>
      <c r="F17" s="82">
        <f t="shared" si="0"/>
        <v>0</v>
      </c>
      <c r="G17" s="14"/>
      <c r="H17" s="18" t="e">
        <f>IF(#REF!&gt;0,#REF!+#REF!+#REF!-#REF!,#REF!+#REF!-#REF!)</f>
        <v>#REF!</v>
      </c>
    </row>
    <row r="18" spans="1:8" s="1" customFormat="1" ht="15" customHeight="1" x14ac:dyDescent="0.25">
      <c r="A18" s="16">
        <v>3134</v>
      </c>
      <c r="B18" s="17" t="s">
        <v>19</v>
      </c>
      <c r="C18" s="17">
        <v>493100022</v>
      </c>
      <c r="D18" s="81">
        <v>0</v>
      </c>
      <c r="E18" s="89"/>
      <c r="F18" s="83">
        <f t="shared" si="0"/>
        <v>0</v>
      </c>
      <c r="G18" s="14"/>
      <c r="H18" s="18" t="e">
        <f>IF(#REF!&gt;0,#REF!+#REF!+#REF!-#REF!,#REF!+#REF!-#REF!)</f>
        <v>#REF!</v>
      </c>
    </row>
    <row r="19" spans="1:8" s="1" customFormat="1" ht="15" customHeight="1" x14ac:dyDescent="0.25">
      <c r="A19" s="16">
        <v>3135</v>
      </c>
      <c r="B19" s="17" t="s">
        <v>20</v>
      </c>
      <c r="C19" s="17">
        <v>493100023</v>
      </c>
      <c r="D19" s="81">
        <v>0</v>
      </c>
      <c r="E19" s="89"/>
      <c r="F19" s="83">
        <f t="shared" si="0"/>
        <v>0</v>
      </c>
      <c r="G19" s="14"/>
      <c r="H19" s="18" t="e">
        <f>IF(#REF!&gt;0,#REF!+#REF!+#REF!-#REF!,#REF!+#REF!-#REF!)</f>
        <v>#REF!</v>
      </c>
    </row>
    <row r="20" spans="1:8" s="1" customFormat="1" ht="15" customHeight="1" x14ac:dyDescent="0.25">
      <c r="A20" s="16">
        <v>3140</v>
      </c>
      <c r="B20" s="19" t="s">
        <v>21</v>
      </c>
      <c r="C20" s="21"/>
      <c r="D20" s="75">
        <f>SUM(D21:D25)</f>
        <v>5500000</v>
      </c>
      <c r="E20" s="75">
        <f>SUM(E21:E25)</f>
        <v>605</v>
      </c>
      <c r="F20" s="77">
        <f t="shared" si="0"/>
        <v>5499395</v>
      </c>
      <c r="G20" s="14"/>
      <c r="H20" s="15" t="e">
        <f>IF(#REF!&gt;0,#REF!+#REF!+#REF!-#REF!,#REF!+#REF!-#REF!)</f>
        <v>#REF!</v>
      </c>
    </row>
    <row r="21" spans="1:8" s="1" customFormat="1" ht="15" customHeight="1" x14ac:dyDescent="0.25">
      <c r="A21" s="16">
        <v>3141</v>
      </c>
      <c r="B21" s="17" t="s">
        <v>22</v>
      </c>
      <c r="C21" s="17">
        <v>493100024</v>
      </c>
      <c r="D21" s="81">
        <v>0</v>
      </c>
      <c r="E21" s="89"/>
      <c r="F21" s="82">
        <f t="shared" si="0"/>
        <v>0</v>
      </c>
      <c r="G21" s="14"/>
      <c r="H21" s="18" t="e">
        <f>IF(#REF!&gt;0,#REF!+#REF!+#REF!-#REF!,#REF!+#REF!-#REF!)</f>
        <v>#REF!</v>
      </c>
    </row>
    <row r="22" spans="1:8" s="1" customFormat="1" ht="15" customHeight="1" x14ac:dyDescent="0.25">
      <c r="A22" s="16">
        <v>3142</v>
      </c>
      <c r="B22" s="17" t="s">
        <v>23</v>
      </c>
      <c r="C22" s="17">
        <v>493100025</v>
      </c>
      <c r="D22" s="81">
        <v>5500000</v>
      </c>
      <c r="E22" s="89">
        <v>605</v>
      </c>
      <c r="F22" s="95">
        <f t="shared" si="0"/>
        <v>5499395</v>
      </c>
      <c r="G22" s="14"/>
      <c r="H22" s="18" t="e">
        <f>IF(#REF!&gt;0,#REF!+#REF!+#REF!-#REF!,#REF!+#REF!-#REF!)</f>
        <v>#REF!</v>
      </c>
    </row>
    <row r="23" spans="1:8" s="1" customFormat="1" ht="15" customHeight="1" x14ac:dyDescent="0.25">
      <c r="A23" s="16">
        <v>3143</v>
      </c>
      <c r="B23" s="17" t="s">
        <v>24</v>
      </c>
      <c r="C23" s="17">
        <v>493100026</v>
      </c>
      <c r="D23" s="81">
        <v>0</v>
      </c>
      <c r="E23" s="89"/>
      <c r="F23" s="83">
        <f t="shared" si="0"/>
        <v>0</v>
      </c>
      <c r="G23" s="14"/>
      <c r="H23" s="18" t="e">
        <f>IF(#REF!&gt;0,#REF!+#REF!+#REF!-#REF!,#REF!+#REF!-#REF!)</f>
        <v>#REF!</v>
      </c>
    </row>
    <row r="24" spans="1:8" s="1" customFormat="1" ht="15" customHeight="1" x14ac:dyDescent="0.25">
      <c r="A24" s="16">
        <v>3144</v>
      </c>
      <c r="B24" s="17" t="s">
        <v>25</v>
      </c>
      <c r="C24" s="17">
        <v>493100027</v>
      </c>
      <c r="D24" s="81">
        <v>0</v>
      </c>
      <c r="E24" s="89"/>
      <c r="F24" s="83">
        <f t="shared" si="0"/>
        <v>0</v>
      </c>
      <c r="G24" s="14"/>
      <c r="H24" s="18" t="e">
        <f>IF(#REF!&gt;0,#REF!+#REF!+#REF!-#REF!,#REF!+#REF!-#REF!)</f>
        <v>#REF!</v>
      </c>
    </row>
    <row r="25" spans="1:8" s="1" customFormat="1" ht="15" customHeight="1" x14ac:dyDescent="0.25">
      <c r="A25" s="16">
        <v>3145</v>
      </c>
      <c r="B25" s="17" t="s">
        <v>26</v>
      </c>
      <c r="C25" s="17">
        <v>493100028</v>
      </c>
      <c r="D25" s="81">
        <v>0</v>
      </c>
      <c r="E25" s="89"/>
      <c r="F25" s="82">
        <f t="shared" si="0"/>
        <v>0</v>
      </c>
      <c r="G25" s="14"/>
      <c r="H25" s="18" t="e">
        <f>IF(#REF!&gt;0,#REF!+#REF!+#REF!-#REF!,#REF!+#REF!-#REF!)</f>
        <v>#REF!</v>
      </c>
    </row>
    <row r="26" spans="1:8" s="1" customFormat="1" ht="15" customHeight="1" x14ac:dyDescent="0.25">
      <c r="A26" s="16">
        <v>3150</v>
      </c>
      <c r="B26" s="19" t="s">
        <v>27</v>
      </c>
      <c r="C26" s="21"/>
      <c r="D26" s="75">
        <v>0</v>
      </c>
      <c r="E26" s="90"/>
      <c r="F26" s="77">
        <f t="shared" si="0"/>
        <v>0</v>
      </c>
      <c r="G26" s="14"/>
      <c r="H26" s="15" t="e">
        <f>IF(#REF!&gt;0,#REF!+#REF!+#REF!-#REF!,#REF!+#REF!-#REF!)</f>
        <v>#REF!</v>
      </c>
    </row>
    <row r="27" spans="1:8" s="1" customFormat="1" ht="15" customHeight="1" x14ac:dyDescent="0.25">
      <c r="A27" s="16">
        <v>3151</v>
      </c>
      <c r="B27" s="17" t="s">
        <v>28</v>
      </c>
      <c r="C27" s="17">
        <v>493100029</v>
      </c>
      <c r="D27" s="81">
        <v>0</v>
      </c>
      <c r="E27" s="89"/>
      <c r="F27" s="82">
        <f t="shared" si="0"/>
        <v>0</v>
      </c>
      <c r="G27" s="14"/>
      <c r="H27" s="18" t="e">
        <f>IF(#REF!&gt;0,#REF!+#REF!+#REF!-#REF!,#REF!+#REF!-#REF!)</f>
        <v>#REF!</v>
      </c>
    </row>
    <row r="28" spans="1:8" s="1" customFormat="1" ht="15" customHeight="1" x14ac:dyDescent="0.25">
      <c r="A28" s="16">
        <v>3152</v>
      </c>
      <c r="B28" s="17" t="s">
        <v>29</v>
      </c>
      <c r="C28" s="17">
        <v>493100030</v>
      </c>
      <c r="D28" s="81">
        <v>0</v>
      </c>
      <c r="E28" s="89"/>
      <c r="F28" s="83">
        <f t="shared" si="0"/>
        <v>0</v>
      </c>
      <c r="G28" s="14"/>
      <c r="H28" s="18" t="e">
        <f>IF(#REF!&gt;0,#REF!+#REF!+#REF!-#REF!,#REF!+#REF!-#REF!)</f>
        <v>#REF!</v>
      </c>
    </row>
    <row r="29" spans="1:8" s="1" customFormat="1" ht="15" customHeight="1" x14ac:dyDescent="0.25">
      <c r="A29" s="16">
        <v>3153</v>
      </c>
      <c r="B29" s="17" t="s">
        <v>30</v>
      </c>
      <c r="C29" s="17">
        <v>493100031</v>
      </c>
      <c r="D29" s="81">
        <v>0</v>
      </c>
      <c r="E29" s="89"/>
      <c r="F29" s="82">
        <f t="shared" si="0"/>
        <v>0</v>
      </c>
      <c r="G29" s="20"/>
      <c r="H29" s="18" t="e">
        <f>IF(#REF!&gt;0,#REF!+#REF!+#REF!-#REF!,#REF!+#REF!-#REF!)</f>
        <v>#REF!</v>
      </c>
    </row>
    <row r="30" spans="1:8" s="1" customFormat="1" ht="15" customHeight="1" x14ac:dyDescent="0.25">
      <c r="A30" s="16">
        <v>3154</v>
      </c>
      <c r="B30" s="17" t="s">
        <v>31</v>
      </c>
      <c r="C30" s="17">
        <v>493100032</v>
      </c>
      <c r="D30" s="81">
        <v>0</v>
      </c>
      <c r="E30" s="89"/>
      <c r="F30" s="82">
        <f t="shared" si="0"/>
        <v>0</v>
      </c>
      <c r="G30" s="20"/>
      <c r="H30" s="18" t="e">
        <f>IF(#REF!&gt;0,#REF!+#REF!+#REF!-#REF!,#REF!+#REF!-#REF!)</f>
        <v>#REF!</v>
      </c>
    </row>
    <row r="31" spans="1:8" s="1" customFormat="1" ht="15" customHeight="1" x14ac:dyDescent="0.25">
      <c r="A31" s="16">
        <v>3137</v>
      </c>
      <c r="B31" s="21" t="s">
        <v>32</v>
      </c>
      <c r="C31" s="21"/>
      <c r="D31" s="75">
        <f>SUM(D32:D37)</f>
        <v>580000</v>
      </c>
      <c r="E31" s="75">
        <f>SUM(E32:E37)</f>
        <v>578354.81000000006</v>
      </c>
      <c r="F31" s="77">
        <f t="shared" si="0"/>
        <v>1645.1899999999441</v>
      </c>
      <c r="G31" s="20"/>
      <c r="H31" s="15" t="e">
        <f>IF(#REF!&gt;0,#REF!+#REF!+#REF!-#REF!,#REF!+#REF!-#REF!)</f>
        <v>#REF!</v>
      </c>
    </row>
    <row r="32" spans="1:8" s="1" customFormat="1" ht="15" customHeight="1" x14ac:dyDescent="0.25">
      <c r="A32" s="16">
        <v>3701</v>
      </c>
      <c r="B32" s="17" t="s">
        <v>33</v>
      </c>
      <c r="C32" s="17">
        <v>493100033</v>
      </c>
      <c r="D32" s="76">
        <v>0</v>
      </c>
      <c r="E32" s="89"/>
      <c r="F32" s="83">
        <f t="shared" si="0"/>
        <v>0</v>
      </c>
      <c r="G32" s="20"/>
      <c r="H32" s="22" t="e">
        <f>IF(#REF!&gt;0,#REF!+#REF!+#REF!-#REF!,#REF!+#REF!-#REF!)</f>
        <v>#REF!</v>
      </c>
    </row>
    <row r="33" spans="1:8" s="1" customFormat="1" ht="15" customHeight="1" x14ac:dyDescent="0.25">
      <c r="A33" s="16">
        <v>3702</v>
      </c>
      <c r="B33" s="17" t="s">
        <v>34</v>
      </c>
      <c r="C33" s="17">
        <v>493100034</v>
      </c>
      <c r="D33" s="81">
        <v>580000</v>
      </c>
      <c r="E33" s="89">
        <v>578354.81000000006</v>
      </c>
      <c r="F33" s="83">
        <f t="shared" si="0"/>
        <v>1645.1899999999441</v>
      </c>
      <c r="G33" s="20"/>
      <c r="H33" s="18" t="e">
        <f>IF(#REF!&gt;0,#REF!+#REF!+#REF!-#REF!,#REF!+#REF!-#REF!)</f>
        <v>#REF!</v>
      </c>
    </row>
    <row r="34" spans="1:8" s="1" customFormat="1" ht="15" customHeight="1" x14ac:dyDescent="0.25">
      <c r="A34" s="16">
        <v>3703</v>
      </c>
      <c r="B34" s="17" t="s">
        <v>35</v>
      </c>
      <c r="C34" s="17">
        <v>493100035</v>
      </c>
      <c r="D34" s="81">
        <v>0</v>
      </c>
      <c r="E34" s="89"/>
      <c r="F34" s="82">
        <f t="shared" si="0"/>
        <v>0</v>
      </c>
      <c r="G34" s="20"/>
      <c r="H34" s="18" t="e">
        <f>IF(#REF!&gt;0,#REF!+#REF!+#REF!-#REF!,#REF!+#REF!-#REF!)</f>
        <v>#REF!</v>
      </c>
    </row>
    <row r="35" spans="1:8" s="1" customFormat="1" ht="15" customHeight="1" x14ac:dyDescent="0.25">
      <c r="A35" s="16">
        <v>3704</v>
      </c>
      <c r="B35" s="17" t="s">
        <v>36</v>
      </c>
      <c r="C35" s="17">
        <v>493100036</v>
      </c>
      <c r="D35" s="81">
        <v>0</v>
      </c>
      <c r="E35" s="89"/>
      <c r="F35" s="82">
        <f t="shared" si="0"/>
        <v>0</v>
      </c>
      <c r="G35" s="20"/>
      <c r="H35" s="18" t="e">
        <f>IF(#REF!&gt;0,#REF!+#REF!+#REF!-#REF!,#REF!+#REF!-#REF!)</f>
        <v>#REF!</v>
      </c>
    </row>
    <row r="36" spans="1:8" s="1" customFormat="1" ht="15" customHeight="1" x14ac:dyDescent="0.25">
      <c r="A36" s="16">
        <v>3705</v>
      </c>
      <c r="B36" s="17" t="s">
        <v>37</v>
      </c>
      <c r="C36" s="17">
        <v>493100037</v>
      </c>
      <c r="D36" s="81">
        <v>0</v>
      </c>
      <c r="E36" s="89"/>
      <c r="F36" s="82">
        <f t="shared" si="0"/>
        <v>0</v>
      </c>
      <c r="G36" s="20"/>
      <c r="H36" s="18" t="e">
        <f>IF(#REF!&gt;0,#REF!+#REF!+#REF!-#REF!,#REF!+#REF!-#REF!)</f>
        <v>#REF!</v>
      </c>
    </row>
    <row r="37" spans="1:8" s="1" customFormat="1" ht="15.75" x14ac:dyDescent="0.25">
      <c r="A37" s="16">
        <v>3706</v>
      </c>
      <c r="B37" s="17" t="s">
        <v>38</v>
      </c>
      <c r="C37" s="17">
        <v>493100038</v>
      </c>
      <c r="D37" s="81">
        <v>0</v>
      </c>
      <c r="E37" s="89"/>
      <c r="F37" s="82">
        <f t="shared" si="0"/>
        <v>0</v>
      </c>
      <c r="G37" s="20"/>
      <c r="H37" s="18" t="e">
        <f>IF(#REF!&gt;0,#REF!+#REF!+#REF!-#REF!,#REF!+#REF!-#REF!)</f>
        <v>#REF!</v>
      </c>
    </row>
    <row r="38" spans="1:8" s="1" customFormat="1" ht="15" customHeight="1" x14ac:dyDescent="0.25">
      <c r="A38" s="16">
        <v>3720</v>
      </c>
      <c r="B38" s="21" t="s">
        <v>39</v>
      </c>
      <c r="C38" s="21"/>
      <c r="D38" s="75">
        <v>7600000</v>
      </c>
      <c r="E38" s="90">
        <f>SUM(E39:E46)</f>
        <v>6880249.3399999999</v>
      </c>
      <c r="F38" s="86">
        <f t="shared" si="0"/>
        <v>719750.66000000015</v>
      </c>
      <c r="G38" s="20"/>
      <c r="H38" s="18" t="e">
        <f>IF(#REF!&gt;0,#REF!+#REF!+#REF!-#REF!,#REF!+#REF!-#REF!)</f>
        <v>#REF!</v>
      </c>
    </row>
    <row r="39" spans="1:8" s="1" customFormat="1" ht="15" customHeight="1" x14ac:dyDescent="0.25">
      <c r="A39" s="16">
        <v>3721</v>
      </c>
      <c r="B39" s="17" t="s">
        <v>40</v>
      </c>
      <c r="C39" s="17">
        <v>493100039</v>
      </c>
      <c r="D39" s="81"/>
      <c r="E39" s="89">
        <v>798844.39</v>
      </c>
      <c r="F39" s="82">
        <f t="shared" si="0"/>
        <v>-798844.39</v>
      </c>
      <c r="G39" s="20"/>
      <c r="H39" s="18" t="e">
        <f>IF(#REF!&gt;0,#REF!+#REF!+#REF!-#REF!,#REF!+#REF!-#REF!)</f>
        <v>#REF!</v>
      </c>
    </row>
    <row r="40" spans="1:8" s="1" customFormat="1" ht="15" customHeight="1" x14ac:dyDescent="0.25">
      <c r="A40" s="16">
        <v>3722</v>
      </c>
      <c r="B40" s="17" t="s">
        <v>41</v>
      </c>
      <c r="C40" s="17">
        <v>493100040</v>
      </c>
      <c r="D40" s="81"/>
      <c r="E40" s="89"/>
      <c r="F40" s="91">
        <f t="shared" si="0"/>
        <v>0</v>
      </c>
      <c r="G40" s="20"/>
      <c r="H40" s="18" t="e">
        <f>IF(#REF!&gt;0,#REF!+#REF!+#REF!-#REF!,#REF!+#REF!-#REF!)</f>
        <v>#REF!</v>
      </c>
    </row>
    <row r="41" spans="1:8" s="1" customFormat="1" ht="15" customHeight="1" x14ac:dyDescent="0.25">
      <c r="A41" s="16">
        <v>3723</v>
      </c>
      <c r="B41" s="17" t="s">
        <v>42</v>
      </c>
      <c r="C41" s="17">
        <v>493100041</v>
      </c>
      <c r="D41" s="81"/>
      <c r="E41" s="89"/>
      <c r="F41" s="96">
        <f t="shared" si="0"/>
        <v>0</v>
      </c>
      <c r="G41" s="20"/>
      <c r="H41" s="18" t="e">
        <f>IF(#REF!&gt;0,#REF!+#REF!+#REF!-#REF!,#REF!+#REF!-#REF!)</f>
        <v>#REF!</v>
      </c>
    </row>
    <row r="42" spans="1:8" s="1" customFormat="1" ht="15" customHeight="1" x14ac:dyDescent="0.25">
      <c r="A42" s="16">
        <v>3724</v>
      </c>
      <c r="B42" s="17" t="s">
        <v>43</v>
      </c>
      <c r="C42" s="17">
        <v>493100042</v>
      </c>
      <c r="D42" s="81"/>
      <c r="E42" s="89"/>
      <c r="F42" s="82">
        <f t="shared" si="0"/>
        <v>0</v>
      </c>
      <c r="G42" s="20"/>
      <c r="H42" s="18" t="e">
        <f>IF(#REF!&gt;0,#REF!+#REF!+#REF!-#REF!,#REF!+#REF!-#REF!)</f>
        <v>#REF!</v>
      </c>
    </row>
    <row r="43" spans="1:8" s="1" customFormat="1" ht="15" customHeight="1" x14ac:dyDescent="0.25">
      <c r="A43" s="16">
        <v>3725</v>
      </c>
      <c r="B43" s="17" t="s">
        <v>44</v>
      </c>
      <c r="C43" s="17">
        <v>493100043</v>
      </c>
      <c r="D43" s="81"/>
      <c r="E43" s="89">
        <v>2265702.48</v>
      </c>
      <c r="F43" s="82">
        <f t="shared" si="0"/>
        <v>-2265702.48</v>
      </c>
      <c r="G43" s="20"/>
      <c r="H43" s="18" t="e">
        <f>IF(#REF!&gt;0,#REF!+#REF!+#REF!-#REF!,#REF!+#REF!-#REF!)</f>
        <v>#REF!</v>
      </c>
    </row>
    <row r="44" spans="1:8" s="1" customFormat="1" ht="15" customHeight="1" x14ac:dyDescent="0.25">
      <c r="A44" s="16">
        <v>3726</v>
      </c>
      <c r="B44" s="17" t="s">
        <v>45</v>
      </c>
      <c r="C44" s="17">
        <v>493100044</v>
      </c>
      <c r="D44" s="81"/>
      <c r="E44" s="89"/>
      <c r="F44" s="83">
        <f t="shared" si="0"/>
        <v>0</v>
      </c>
      <c r="G44" s="20"/>
      <c r="H44" s="18" t="e">
        <f>IF(#REF!&gt;0,#REF!+#REF!+#REF!-#REF!,#REF!+#REF!-#REF!)</f>
        <v>#REF!</v>
      </c>
    </row>
    <row r="45" spans="1:8" s="1" customFormat="1" ht="15" customHeight="1" x14ac:dyDescent="0.25">
      <c r="A45" s="16">
        <v>3727</v>
      </c>
      <c r="B45" s="17" t="s">
        <v>46</v>
      </c>
      <c r="C45" s="17">
        <v>493100045</v>
      </c>
      <c r="D45" s="81"/>
      <c r="E45" s="89">
        <v>3815702.47</v>
      </c>
      <c r="F45" s="91">
        <f t="shared" si="0"/>
        <v>-3815702.47</v>
      </c>
      <c r="G45" s="20"/>
      <c r="H45" s="18" t="e">
        <f>IF(#REF!&gt;0,#REF!+#REF!+#REF!-#REF!,#REF!+#REF!-#REF!)</f>
        <v>#REF!</v>
      </c>
    </row>
    <row r="46" spans="1:8" s="1" customFormat="1" ht="16.5" thickBot="1" x14ac:dyDescent="0.3">
      <c r="A46" s="16">
        <v>3728</v>
      </c>
      <c r="B46" s="17" t="s">
        <v>47</v>
      </c>
      <c r="C46" s="17">
        <v>493100046</v>
      </c>
      <c r="D46" s="81">
        <v>0</v>
      </c>
      <c r="E46" s="89"/>
      <c r="F46" s="82">
        <f t="shared" si="0"/>
        <v>0</v>
      </c>
      <c r="G46" s="46"/>
      <c r="H46" s="18"/>
    </row>
    <row r="47" spans="1:8" s="1" customFormat="1" ht="16.5" thickBot="1" x14ac:dyDescent="0.3">
      <c r="A47" s="24" t="s">
        <v>48</v>
      </c>
      <c r="B47" s="25"/>
      <c r="C47" s="25"/>
      <c r="D47" s="57">
        <f>D38+D31+D26+D20+D14+D9+D5</f>
        <v>14880000</v>
      </c>
      <c r="E47" s="57">
        <f>E38+E31+E26+E20+E14+E9+E5</f>
        <v>8022129.1500000004</v>
      </c>
      <c r="F47" s="57">
        <f>F5+F9+F14+F20+F26+F31+F38</f>
        <v>6857870.8499999996</v>
      </c>
      <c r="G47" s="20"/>
    </row>
    <row r="48" spans="1:8" ht="17.25" x14ac:dyDescent="0.3">
      <c r="A48" s="26"/>
      <c r="B48" s="26"/>
      <c r="C48" s="26"/>
      <c r="D48" s="28"/>
      <c r="E48" s="28"/>
      <c r="F48" s="29"/>
    </row>
    <row r="49" spans="5:5" x14ac:dyDescent="0.25">
      <c r="E49" s="39"/>
    </row>
  </sheetData>
  <mergeCells count="7">
    <mergeCell ref="D3:D4"/>
    <mergeCell ref="H3:H4"/>
    <mergeCell ref="E3:E4"/>
    <mergeCell ref="F3:F4"/>
    <mergeCell ref="A3:A4"/>
    <mergeCell ref="B3:B4"/>
    <mergeCell ref="C3:C4"/>
  </mergeCells>
  <pageMargins left="0.70866141732283472" right="0.70866141732283472" top="0.78740157480314965" bottom="0.78740157480314965" header="0.31496062992125984" footer="0.31496062992125984"/>
  <pageSetup paperSize="9" scale="61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63"/>
  <sheetViews>
    <sheetView topLeftCell="A16" zoomScaleNormal="100" workbookViewId="0">
      <selection activeCell="A18" sqref="A18:XFD18"/>
    </sheetView>
  </sheetViews>
  <sheetFormatPr defaultRowHeight="15" x14ac:dyDescent="0.25"/>
  <cols>
    <col min="1" max="1" width="9" bestFit="1" customWidth="1"/>
    <col min="2" max="2" width="32.28515625" customWidth="1"/>
    <col min="3" max="3" width="29.7109375" customWidth="1"/>
    <col min="4" max="5" width="20.5703125" customWidth="1"/>
    <col min="6" max="6" width="20" style="2" customWidth="1"/>
    <col min="7" max="7" width="18" customWidth="1"/>
    <col min="8" max="8" width="20.7109375" customWidth="1"/>
    <col min="9" max="9" width="15.42578125" bestFit="1" customWidth="1"/>
    <col min="10" max="10" width="26.5703125" customWidth="1"/>
    <col min="11" max="12" width="14.28515625" bestFit="1" customWidth="1"/>
  </cols>
  <sheetData>
    <row r="1" spans="1:13" ht="16.5" customHeight="1" x14ac:dyDescent="0.25">
      <c r="C1" s="1"/>
      <c r="D1" s="1"/>
      <c r="E1" s="1"/>
      <c r="G1" s="2"/>
      <c r="H1" s="2"/>
    </row>
    <row r="2" spans="1:13" ht="34.5" thickBot="1" x14ac:dyDescent="0.55000000000000004">
      <c r="A2" s="7" t="s">
        <v>55</v>
      </c>
      <c r="B2" s="7">
        <v>2020</v>
      </c>
      <c r="C2" s="31"/>
      <c r="D2" s="31"/>
      <c r="E2" s="31"/>
      <c r="G2" s="2"/>
      <c r="H2" s="97" t="s">
        <v>63</v>
      </c>
    </row>
    <row r="3" spans="1:13" ht="3.75" hidden="1" customHeight="1" x14ac:dyDescent="0.55000000000000004">
      <c r="B3" s="7"/>
      <c r="C3" s="1"/>
      <c r="D3" s="1"/>
      <c r="E3" s="1"/>
      <c r="G3" s="2"/>
      <c r="H3" s="2"/>
    </row>
    <row r="4" spans="1:13" ht="15" customHeight="1" x14ac:dyDescent="0.25">
      <c r="A4" s="167" t="s">
        <v>0</v>
      </c>
      <c r="B4" s="169" t="s">
        <v>1</v>
      </c>
      <c r="C4" s="171" t="s">
        <v>73</v>
      </c>
      <c r="D4" s="171" t="s">
        <v>68</v>
      </c>
      <c r="E4" s="99"/>
      <c r="F4" s="171" t="s">
        <v>74</v>
      </c>
      <c r="G4" s="173" t="s">
        <v>78</v>
      </c>
      <c r="H4" s="171" t="s">
        <v>75</v>
      </c>
    </row>
    <row r="5" spans="1:13" ht="227.25" customHeight="1" thickBot="1" x14ac:dyDescent="0.3">
      <c r="A5" s="168"/>
      <c r="B5" s="170"/>
      <c r="C5" s="172"/>
      <c r="D5" s="172"/>
      <c r="E5" s="100" t="s">
        <v>69</v>
      </c>
      <c r="F5" s="172"/>
      <c r="G5" s="174"/>
      <c r="H5" s="172"/>
    </row>
    <row r="6" spans="1:13" s="1" customFormat="1" ht="15" customHeight="1" x14ac:dyDescent="0.25">
      <c r="A6" s="58">
        <v>3110</v>
      </c>
      <c r="B6" s="132" t="s">
        <v>6</v>
      </c>
      <c r="C6" s="133">
        <v>920032</v>
      </c>
      <c r="D6" s="133"/>
      <c r="E6" s="133"/>
      <c r="F6" s="133"/>
      <c r="G6" s="133"/>
      <c r="H6" s="134">
        <f t="shared" ref="H6:H48" si="0">C6+D6+E6+F6+G6</f>
        <v>920032</v>
      </c>
    </row>
    <row r="7" spans="1:13" s="1" customFormat="1" ht="15" customHeight="1" x14ac:dyDescent="0.25">
      <c r="A7" s="59">
        <v>3111</v>
      </c>
      <c r="B7" s="61" t="s">
        <v>7</v>
      </c>
      <c r="C7" s="32">
        <v>13419450.899999999</v>
      </c>
      <c r="D7" s="32">
        <v>-1783987.26</v>
      </c>
      <c r="E7" s="32"/>
      <c r="F7" s="32">
        <f>-286.04-208.71-324555.37-223825.8</f>
        <v>-548875.91999999993</v>
      </c>
      <c r="G7" s="32"/>
      <c r="H7" s="135">
        <f t="shared" si="0"/>
        <v>11086587.719999999</v>
      </c>
      <c r="I7" s="117"/>
      <c r="K7" s="118"/>
      <c r="L7" s="118"/>
      <c r="M7" s="118"/>
    </row>
    <row r="8" spans="1:13" s="1" customFormat="1" ht="15" customHeight="1" x14ac:dyDescent="0.25">
      <c r="A8" s="59">
        <v>3112</v>
      </c>
      <c r="B8" s="61" t="s">
        <v>8</v>
      </c>
      <c r="C8" s="32">
        <v>8179604.7299999995</v>
      </c>
      <c r="D8" s="32"/>
      <c r="E8" s="32"/>
      <c r="F8" s="32">
        <f>-86089.43-1630432.1-1278523.76-851341.14</f>
        <v>-3846386.43</v>
      </c>
      <c r="G8" s="49"/>
      <c r="H8" s="135">
        <f t="shared" si="0"/>
        <v>4333218.2999999989</v>
      </c>
      <c r="I8" s="117"/>
      <c r="K8" s="118"/>
      <c r="L8" s="118"/>
      <c r="M8" s="118"/>
    </row>
    <row r="9" spans="1:13" s="1" customFormat="1" ht="15" customHeight="1" x14ac:dyDescent="0.25">
      <c r="A9" s="59">
        <v>3113</v>
      </c>
      <c r="B9" s="61" t="s">
        <v>9</v>
      </c>
      <c r="C9" s="32">
        <v>9515196.2100000009</v>
      </c>
      <c r="D9" s="32"/>
      <c r="E9" s="32"/>
      <c r="F9" s="32">
        <f>-113883.52-107332.9-107135.8-54776.24</f>
        <v>-383128.45999999996</v>
      </c>
      <c r="G9" s="32"/>
      <c r="H9" s="135">
        <f t="shared" si="0"/>
        <v>9132067.75</v>
      </c>
      <c r="I9" s="117"/>
      <c r="K9" s="118"/>
      <c r="L9" s="118"/>
      <c r="M9" s="118"/>
    </row>
    <row r="10" spans="1:13" s="1" customFormat="1" ht="15" customHeight="1" x14ac:dyDescent="0.25">
      <c r="A10" s="59">
        <v>3120</v>
      </c>
      <c r="B10" s="62" t="s">
        <v>10</v>
      </c>
      <c r="C10" s="41">
        <v>1554624</v>
      </c>
      <c r="D10" s="41"/>
      <c r="E10" s="40"/>
      <c r="F10" s="40"/>
      <c r="G10" s="40"/>
      <c r="H10" s="136">
        <f t="shared" si="0"/>
        <v>1554624</v>
      </c>
      <c r="I10" s="117"/>
      <c r="K10" s="118"/>
      <c r="L10" s="118"/>
      <c r="M10" s="118"/>
    </row>
    <row r="11" spans="1:13" s="1" customFormat="1" ht="15" customHeight="1" x14ac:dyDescent="0.25">
      <c r="A11" s="59">
        <v>3122</v>
      </c>
      <c r="B11" s="61" t="s">
        <v>11</v>
      </c>
      <c r="C11" s="32">
        <v>3653291.77</v>
      </c>
      <c r="D11" s="32"/>
      <c r="E11" s="32"/>
      <c r="F11" s="32"/>
      <c r="G11" s="32"/>
      <c r="H11" s="135">
        <f t="shared" si="0"/>
        <v>3653291.77</v>
      </c>
      <c r="I11" s="117"/>
      <c r="K11" s="118"/>
      <c r="L11" s="118"/>
      <c r="M11" s="118"/>
    </row>
    <row r="12" spans="1:13" s="1" customFormat="1" ht="15" customHeight="1" x14ac:dyDescent="0.25">
      <c r="A12" s="59">
        <v>3123</v>
      </c>
      <c r="B12" s="61" t="s">
        <v>12</v>
      </c>
      <c r="C12" s="32">
        <v>7789293.1099999985</v>
      </c>
      <c r="D12" s="32">
        <v>-119737.59</v>
      </c>
      <c r="E12" s="32"/>
      <c r="F12" s="32"/>
      <c r="G12" s="32"/>
      <c r="H12" s="135">
        <f t="shared" si="0"/>
        <v>7669555.5199999986</v>
      </c>
      <c r="I12" s="117"/>
      <c r="K12" s="118"/>
      <c r="L12" s="118"/>
      <c r="M12" s="118"/>
    </row>
    <row r="13" spans="1:13" s="1" customFormat="1" ht="15" customHeight="1" x14ac:dyDescent="0.25">
      <c r="A13" s="59">
        <v>3125</v>
      </c>
      <c r="B13" s="61" t="s">
        <v>13</v>
      </c>
      <c r="C13" s="32">
        <v>4942263.72</v>
      </c>
      <c r="D13" s="32">
        <v>-605</v>
      </c>
      <c r="E13" s="32"/>
      <c r="F13" s="32"/>
      <c r="G13" s="32"/>
      <c r="H13" s="135">
        <f t="shared" si="0"/>
        <v>4941658.72</v>
      </c>
      <c r="I13" s="117"/>
      <c r="K13" s="118"/>
      <c r="L13" s="118"/>
      <c r="M13" s="118"/>
    </row>
    <row r="14" spans="1:13" s="1" customFormat="1" ht="15" customHeight="1" x14ac:dyDescent="0.25">
      <c r="A14" s="59">
        <v>3127</v>
      </c>
      <c r="B14" s="61" t="s">
        <v>14</v>
      </c>
      <c r="C14" s="32">
        <v>1118480.75</v>
      </c>
      <c r="D14" s="32">
        <v>-538.20000000000005</v>
      </c>
      <c r="E14" s="32"/>
      <c r="F14" s="32"/>
      <c r="G14" s="32"/>
      <c r="H14" s="135">
        <f t="shared" si="0"/>
        <v>1117942.55</v>
      </c>
      <c r="I14" s="117"/>
      <c r="K14" s="118"/>
      <c r="L14" s="118"/>
      <c r="M14" s="118"/>
    </row>
    <row r="15" spans="1:13" s="1" customFormat="1" ht="15" customHeight="1" x14ac:dyDescent="0.25">
      <c r="A15" s="59">
        <v>3130</v>
      </c>
      <c r="B15" s="62" t="s">
        <v>15</v>
      </c>
      <c r="C15" s="41">
        <v>634587.55000000005</v>
      </c>
      <c r="D15" s="41"/>
      <c r="E15" s="40"/>
      <c r="F15" s="40"/>
      <c r="G15" s="111"/>
      <c r="H15" s="136">
        <f t="shared" si="0"/>
        <v>634587.55000000005</v>
      </c>
      <c r="I15" s="117"/>
      <c r="K15" s="118"/>
      <c r="L15" s="118"/>
      <c r="M15" s="118"/>
    </row>
    <row r="16" spans="1:13" s="1" customFormat="1" ht="15" customHeight="1" x14ac:dyDescent="0.25">
      <c r="A16" s="59">
        <v>3131</v>
      </c>
      <c r="B16" s="61" t="s">
        <v>16</v>
      </c>
      <c r="C16" s="32">
        <v>4502958.8499999996</v>
      </c>
      <c r="D16" s="32"/>
      <c r="E16" s="32"/>
      <c r="F16" s="32"/>
      <c r="G16" s="32"/>
      <c r="H16" s="135">
        <f t="shared" si="0"/>
        <v>4502958.8499999996</v>
      </c>
      <c r="I16" s="117"/>
      <c r="K16" s="118"/>
      <c r="L16" s="118"/>
      <c r="M16" s="118"/>
    </row>
    <row r="17" spans="1:13" s="1" customFormat="1" ht="15" customHeight="1" x14ac:dyDescent="0.25">
      <c r="A17" s="59">
        <v>3132</v>
      </c>
      <c r="B17" s="61" t="s">
        <v>17</v>
      </c>
      <c r="C17" s="32">
        <v>2317555.39</v>
      </c>
      <c r="D17" s="32">
        <v>-227042.26</v>
      </c>
      <c r="E17" s="32"/>
      <c r="F17" s="32"/>
      <c r="G17" s="32"/>
      <c r="H17" s="137">
        <f t="shared" si="0"/>
        <v>2090513.1300000001</v>
      </c>
      <c r="I17" s="117"/>
      <c r="K17" s="118"/>
      <c r="L17" s="118"/>
      <c r="M17" s="118"/>
    </row>
    <row r="18" spans="1:13" s="1" customFormat="1" ht="15" customHeight="1" x14ac:dyDescent="0.25">
      <c r="A18" s="59">
        <v>3133</v>
      </c>
      <c r="B18" s="61" t="s">
        <v>18</v>
      </c>
      <c r="C18" s="32">
        <v>4639436.6100000003</v>
      </c>
      <c r="D18" s="32"/>
      <c r="E18" s="32">
        <v>-4997.8999999999996</v>
      </c>
      <c r="F18" s="32"/>
      <c r="G18" s="32"/>
      <c r="H18" s="135">
        <f t="shared" si="0"/>
        <v>4634438.71</v>
      </c>
      <c r="I18" s="117"/>
      <c r="K18" s="118"/>
      <c r="L18" s="118"/>
      <c r="M18" s="118"/>
    </row>
    <row r="19" spans="1:13" s="1" customFormat="1" ht="15" customHeight="1" x14ac:dyDescent="0.25">
      <c r="A19" s="59">
        <v>3134</v>
      </c>
      <c r="B19" s="61" t="s">
        <v>19</v>
      </c>
      <c r="C19" s="32">
        <v>1480106.56</v>
      </c>
      <c r="D19" s="32"/>
      <c r="E19" s="32"/>
      <c r="F19" s="32"/>
      <c r="G19" s="49"/>
      <c r="H19" s="135">
        <f t="shared" si="0"/>
        <v>1480106.56</v>
      </c>
      <c r="I19" s="117"/>
      <c r="K19" s="118"/>
      <c r="L19" s="118"/>
      <c r="M19" s="118"/>
    </row>
    <row r="20" spans="1:13" s="1" customFormat="1" ht="15" customHeight="1" x14ac:dyDescent="0.25">
      <c r="A20" s="59">
        <v>3135</v>
      </c>
      <c r="B20" s="61" t="s">
        <v>20</v>
      </c>
      <c r="C20" s="32">
        <v>2115687.13</v>
      </c>
      <c r="D20" s="32">
        <v>-395175.71</v>
      </c>
      <c r="E20" s="32"/>
      <c r="F20" s="32"/>
      <c r="G20" s="32"/>
      <c r="H20" s="135">
        <f t="shared" si="0"/>
        <v>1720511.42</v>
      </c>
      <c r="I20" s="117"/>
      <c r="K20" s="118"/>
      <c r="L20" s="118"/>
      <c r="M20" s="118"/>
    </row>
    <row r="21" spans="1:13" s="1" customFormat="1" ht="15" customHeight="1" x14ac:dyDescent="0.25">
      <c r="A21" s="59">
        <v>3140</v>
      </c>
      <c r="B21" s="62" t="s">
        <v>21</v>
      </c>
      <c r="C21" s="41">
        <v>177000</v>
      </c>
      <c r="D21" s="41"/>
      <c r="E21" s="40"/>
      <c r="F21" s="40"/>
      <c r="G21" s="40"/>
      <c r="H21" s="136">
        <f t="shared" si="0"/>
        <v>177000</v>
      </c>
      <c r="I21" s="117"/>
      <c r="K21" s="118"/>
      <c r="L21" s="118"/>
      <c r="M21" s="118"/>
    </row>
    <row r="22" spans="1:13" s="1" customFormat="1" ht="15" customHeight="1" x14ac:dyDescent="0.25">
      <c r="A22" s="59">
        <v>3141</v>
      </c>
      <c r="B22" s="61" t="s">
        <v>22</v>
      </c>
      <c r="C22" s="116">
        <v>-172090.53</v>
      </c>
      <c r="D22" s="32"/>
      <c r="E22" s="32"/>
      <c r="F22" s="32"/>
      <c r="G22" s="32"/>
      <c r="H22" s="138">
        <f t="shared" si="0"/>
        <v>-172090.53</v>
      </c>
      <c r="I22" s="117"/>
      <c r="K22" s="118"/>
      <c r="L22" s="118"/>
      <c r="M22" s="118"/>
    </row>
    <row r="23" spans="1:13" s="1" customFormat="1" ht="15" customHeight="1" x14ac:dyDescent="0.25">
      <c r="A23" s="59">
        <v>3142</v>
      </c>
      <c r="B23" s="61" t="s">
        <v>23</v>
      </c>
      <c r="C23" s="32">
        <v>2789266.02</v>
      </c>
      <c r="D23" s="32">
        <v>-173728.74</v>
      </c>
      <c r="E23" s="32"/>
      <c r="F23" s="32">
        <v>-887000</v>
      </c>
      <c r="G23" s="49"/>
      <c r="H23" s="135">
        <f t="shared" si="0"/>
        <v>1728537.2800000003</v>
      </c>
      <c r="I23" s="117"/>
      <c r="K23" s="118"/>
      <c r="L23" s="118"/>
      <c r="M23" s="118"/>
    </row>
    <row r="24" spans="1:13" s="1" customFormat="1" ht="15" customHeight="1" x14ac:dyDescent="0.25">
      <c r="A24" s="59">
        <v>3143</v>
      </c>
      <c r="B24" s="61" t="s">
        <v>24</v>
      </c>
      <c r="C24" s="32">
        <v>5353327.46</v>
      </c>
      <c r="D24" s="32"/>
      <c r="E24" s="32"/>
      <c r="F24" s="32">
        <f>-145109.14-119042.71-13521-127419.77-48873.19</f>
        <v>-453965.81000000006</v>
      </c>
      <c r="G24" s="32"/>
      <c r="H24" s="135">
        <f t="shared" si="0"/>
        <v>4899361.6500000004</v>
      </c>
      <c r="I24" s="117"/>
      <c r="K24" s="118"/>
      <c r="L24" s="118"/>
      <c r="M24" s="118"/>
    </row>
    <row r="25" spans="1:13" s="1" customFormat="1" ht="15" customHeight="1" x14ac:dyDescent="0.25">
      <c r="A25" s="59">
        <v>3144</v>
      </c>
      <c r="B25" s="61" t="s">
        <v>25</v>
      </c>
      <c r="C25" s="32">
        <v>311552.75</v>
      </c>
      <c r="D25" s="32">
        <v>-49095.65</v>
      </c>
      <c r="E25" s="32"/>
      <c r="F25" s="32"/>
      <c r="G25" s="50"/>
      <c r="H25" s="135">
        <f t="shared" si="0"/>
        <v>262457.09999999998</v>
      </c>
      <c r="I25" s="117"/>
      <c r="K25" s="118"/>
      <c r="L25" s="118"/>
      <c r="M25" s="118"/>
    </row>
    <row r="26" spans="1:13" s="1" customFormat="1" ht="15" customHeight="1" x14ac:dyDescent="0.25">
      <c r="A26" s="59">
        <v>3145</v>
      </c>
      <c r="B26" s="61" t="s">
        <v>26</v>
      </c>
      <c r="C26" s="32">
        <v>3300886.629999999</v>
      </c>
      <c r="D26" s="32"/>
      <c r="E26" s="32"/>
      <c r="F26" s="32">
        <f>-154786.27-165089.83-128760.15-83102.81</f>
        <v>-531739.06000000006</v>
      </c>
      <c r="G26" s="50"/>
      <c r="H26" s="135">
        <f t="shared" si="0"/>
        <v>2769147.5699999989</v>
      </c>
      <c r="I26" s="117"/>
      <c r="K26" s="118"/>
      <c r="L26" s="118"/>
      <c r="M26" s="118"/>
    </row>
    <row r="27" spans="1:13" s="1" customFormat="1" ht="15" customHeight="1" x14ac:dyDescent="0.25">
      <c r="A27" s="59">
        <v>3150</v>
      </c>
      <c r="B27" s="62" t="s">
        <v>27</v>
      </c>
      <c r="C27" s="41">
        <v>0</v>
      </c>
      <c r="D27" s="41"/>
      <c r="E27" s="40"/>
      <c r="F27" s="40"/>
      <c r="G27" s="40"/>
      <c r="H27" s="136">
        <f t="shared" si="0"/>
        <v>0</v>
      </c>
      <c r="I27" s="117"/>
      <c r="K27" s="118"/>
      <c r="L27" s="118"/>
      <c r="M27" s="118"/>
    </row>
    <row r="28" spans="1:13" s="1" customFormat="1" ht="15" customHeight="1" x14ac:dyDescent="0.25">
      <c r="A28" s="59">
        <v>3151</v>
      </c>
      <c r="B28" s="61" t="s">
        <v>28</v>
      </c>
      <c r="C28" s="32">
        <v>2354955.7999999998</v>
      </c>
      <c r="D28" s="32"/>
      <c r="E28" s="32"/>
      <c r="F28" s="32">
        <f>-338800-200000</f>
        <v>-538800</v>
      </c>
      <c r="G28" s="32"/>
      <c r="H28" s="135">
        <f t="shared" si="0"/>
        <v>1816155.7999999998</v>
      </c>
      <c r="I28" s="117"/>
      <c r="K28" s="118"/>
      <c r="L28" s="118"/>
      <c r="M28" s="118"/>
    </row>
    <row r="29" spans="1:13" s="1" customFormat="1" ht="15" customHeight="1" x14ac:dyDescent="0.25">
      <c r="A29" s="59">
        <v>3152</v>
      </c>
      <c r="B29" s="61" t="s">
        <v>29</v>
      </c>
      <c r="C29" s="32">
        <v>1137166.2</v>
      </c>
      <c r="D29" s="32"/>
      <c r="E29" s="32"/>
      <c r="F29" s="32"/>
      <c r="G29" s="32"/>
      <c r="H29" s="137">
        <f t="shared" si="0"/>
        <v>1137166.2</v>
      </c>
      <c r="I29" s="117"/>
      <c r="K29" s="118"/>
      <c r="L29" s="118"/>
      <c r="M29" s="118"/>
    </row>
    <row r="30" spans="1:13" s="1" customFormat="1" ht="15" customHeight="1" x14ac:dyDescent="0.25">
      <c r="A30" s="59">
        <v>3153</v>
      </c>
      <c r="B30" s="61" t="s">
        <v>30</v>
      </c>
      <c r="C30" s="32">
        <v>2629445.79</v>
      </c>
      <c r="D30" s="32"/>
      <c r="E30" s="32"/>
      <c r="F30" s="32"/>
      <c r="G30" s="49"/>
      <c r="H30" s="135">
        <f t="shared" si="0"/>
        <v>2629445.79</v>
      </c>
      <c r="I30" s="117"/>
      <c r="K30" s="118"/>
      <c r="L30" s="118"/>
      <c r="M30" s="118"/>
    </row>
    <row r="31" spans="1:13" s="1" customFormat="1" ht="15" customHeight="1" x14ac:dyDescent="0.25">
      <c r="A31" s="59">
        <v>3154</v>
      </c>
      <c r="B31" s="61" t="s">
        <v>31</v>
      </c>
      <c r="C31" s="32">
        <v>1587285.19</v>
      </c>
      <c r="D31" s="32">
        <v>-79261.05</v>
      </c>
      <c r="E31" s="32"/>
      <c r="F31" s="32"/>
      <c r="G31" s="32"/>
      <c r="H31" s="135">
        <f t="shared" si="0"/>
        <v>1508024.14</v>
      </c>
      <c r="I31" s="117"/>
      <c r="K31" s="118"/>
      <c r="L31" s="118"/>
      <c r="M31" s="118"/>
    </row>
    <row r="32" spans="1:13" s="1" customFormat="1" ht="15" customHeight="1" x14ac:dyDescent="0.25">
      <c r="A32" s="59">
        <v>3137</v>
      </c>
      <c r="B32" s="63" t="s">
        <v>32</v>
      </c>
      <c r="C32" s="33">
        <v>374540.74</v>
      </c>
      <c r="D32" s="33">
        <v>-103687.99</v>
      </c>
      <c r="E32" s="101"/>
      <c r="F32" s="101">
        <f>-45814-4887.05-4653.51-114641.59-309248.43-19973.67</f>
        <v>-499218.24999999994</v>
      </c>
      <c r="G32" s="40"/>
      <c r="H32" s="139">
        <f t="shared" si="0"/>
        <v>-228365.49999999994</v>
      </c>
      <c r="I32" s="117"/>
      <c r="K32" s="118"/>
      <c r="L32" s="118"/>
      <c r="M32" s="118"/>
    </row>
    <row r="33" spans="1:13" s="1" customFormat="1" ht="15" customHeight="1" x14ac:dyDescent="0.25">
      <c r="A33" s="59">
        <v>3701</v>
      </c>
      <c r="B33" s="61" t="s">
        <v>33</v>
      </c>
      <c r="C33" s="32">
        <v>1693801.47</v>
      </c>
      <c r="D33" s="32">
        <v>-538.20000000000005</v>
      </c>
      <c r="E33" s="32"/>
      <c r="F33" s="32"/>
      <c r="G33" s="49"/>
      <c r="H33" s="137">
        <f t="shared" si="0"/>
        <v>1693263.27</v>
      </c>
      <c r="I33" s="117"/>
      <c r="K33" s="118"/>
      <c r="L33" s="118"/>
      <c r="M33" s="118"/>
    </row>
    <row r="34" spans="1:13" s="1" customFormat="1" ht="15" customHeight="1" x14ac:dyDescent="0.25">
      <c r="A34" s="59">
        <v>3702</v>
      </c>
      <c r="B34" s="61" t="s">
        <v>34</v>
      </c>
      <c r="C34" s="32">
        <v>674643.53</v>
      </c>
      <c r="D34" s="32">
        <v>-144891.26999999999</v>
      </c>
      <c r="E34" s="32"/>
      <c r="F34" s="32"/>
      <c r="G34" s="32"/>
      <c r="H34" s="135">
        <f t="shared" si="0"/>
        <v>529752.26</v>
      </c>
      <c r="I34" s="117"/>
      <c r="K34" s="118"/>
      <c r="L34" s="118"/>
      <c r="M34" s="118"/>
    </row>
    <row r="35" spans="1:13" s="1" customFormat="1" ht="15" customHeight="1" x14ac:dyDescent="0.25">
      <c r="A35" s="59">
        <v>3703</v>
      </c>
      <c r="B35" s="61" t="s">
        <v>35</v>
      </c>
      <c r="C35" s="116">
        <v>-886662.12</v>
      </c>
      <c r="D35" s="32"/>
      <c r="E35" s="32"/>
      <c r="F35" s="32">
        <v>887000</v>
      </c>
      <c r="G35" s="50"/>
      <c r="H35" s="137">
        <f t="shared" si="0"/>
        <v>337.88000000000466</v>
      </c>
      <c r="I35" s="117"/>
      <c r="K35" s="118"/>
      <c r="L35" s="118"/>
      <c r="M35" s="118"/>
    </row>
    <row r="36" spans="1:13" s="1" customFormat="1" ht="15" customHeight="1" x14ac:dyDescent="0.25">
      <c r="A36" s="59">
        <v>3704</v>
      </c>
      <c r="B36" s="61" t="s">
        <v>36</v>
      </c>
      <c r="C36" s="32">
        <v>1620830.01</v>
      </c>
      <c r="D36" s="32">
        <v>-652992.78</v>
      </c>
      <c r="E36" s="32"/>
      <c r="F36" s="32">
        <f>-699.22-490.57-206.48-410.77</f>
        <v>-1807.04</v>
      </c>
      <c r="G36" s="32"/>
      <c r="H36" s="135">
        <f t="shared" si="0"/>
        <v>966030.19</v>
      </c>
      <c r="I36" s="117"/>
      <c r="K36" s="118"/>
      <c r="L36" s="118"/>
      <c r="M36" s="118"/>
    </row>
    <row r="37" spans="1:13" s="1" customFormat="1" ht="15" customHeight="1" x14ac:dyDescent="0.25">
      <c r="A37" s="59">
        <v>3705</v>
      </c>
      <c r="B37" s="61" t="s">
        <v>37</v>
      </c>
      <c r="C37" s="32">
        <v>2789839.0999999996</v>
      </c>
      <c r="D37" s="92"/>
      <c r="E37" s="32"/>
      <c r="F37" s="32"/>
      <c r="G37" s="32"/>
      <c r="H37" s="135">
        <f t="shared" si="0"/>
        <v>2789839.0999999996</v>
      </c>
      <c r="I37" s="117"/>
      <c r="K37" s="118"/>
      <c r="L37" s="118"/>
      <c r="M37" s="118"/>
    </row>
    <row r="38" spans="1:13" s="1" customFormat="1" ht="15" customHeight="1" x14ac:dyDescent="0.25">
      <c r="A38" s="59">
        <v>3706</v>
      </c>
      <c r="B38" s="61" t="s">
        <v>38</v>
      </c>
      <c r="C38" s="32">
        <v>0</v>
      </c>
      <c r="D38" s="32"/>
      <c r="E38" s="32"/>
      <c r="F38" s="32"/>
      <c r="G38" s="32"/>
      <c r="H38" s="137">
        <f t="shared" si="0"/>
        <v>0</v>
      </c>
      <c r="I38" s="117"/>
      <c r="K38" s="118"/>
      <c r="L38" s="118"/>
      <c r="M38" s="118"/>
    </row>
    <row r="39" spans="1:13" s="1" customFormat="1" ht="15" customHeight="1" x14ac:dyDescent="0.25">
      <c r="A39" s="59">
        <v>3720</v>
      </c>
      <c r="B39" s="63" t="s">
        <v>39</v>
      </c>
      <c r="C39" s="33">
        <v>5188524.66</v>
      </c>
      <c r="D39" s="33"/>
      <c r="E39" s="101"/>
      <c r="F39" s="101">
        <f>-6409.13-5033.39</f>
        <v>-11442.52</v>
      </c>
      <c r="G39" s="111"/>
      <c r="H39" s="136">
        <f t="shared" si="0"/>
        <v>5177082.1400000006</v>
      </c>
      <c r="I39" s="117"/>
      <c r="K39" s="118"/>
      <c r="L39" s="118"/>
      <c r="M39" s="118"/>
    </row>
    <row r="40" spans="1:13" s="1" customFormat="1" ht="15" customHeight="1" x14ac:dyDescent="0.25">
      <c r="A40" s="59">
        <v>3721</v>
      </c>
      <c r="B40" s="61" t="s">
        <v>40</v>
      </c>
      <c r="C40" s="32">
        <v>2526574.8600000003</v>
      </c>
      <c r="D40" s="32"/>
      <c r="E40" s="32"/>
      <c r="F40" s="32"/>
      <c r="G40" s="50"/>
      <c r="H40" s="135">
        <f t="shared" si="0"/>
        <v>2526574.8600000003</v>
      </c>
      <c r="I40" s="117"/>
      <c r="K40" s="118"/>
      <c r="L40" s="118"/>
      <c r="M40" s="118"/>
    </row>
    <row r="41" spans="1:13" s="1" customFormat="1" ht="15" customHeight="1" x14ac:dyDescent="0.25">
      <c r="A41" s="59">
        <v>3722</v>
      </c>
      <c r="B41" s="61" t="s">
        <v>41</v>
      </c>
      <c r="C41" s="32">
        <v>1482603.5000000002</v>
      </c>
      <c r="D41" s="32"/>
      <c r="E41" s="32"/>
      <c r="F41" s="32">
        <f>-75393.44-73923.74-73739.09-36859.28</f>
        <v>-259915.55</v>
      </c>
      <c r="G41" s="49"/>
      <c r="H41" s="135">
        <f t="shared" si="0"/>
        <v>1222687.9500000002</v>
      </c>
      <c r="I41" s="117"/>
      <c r="K41" s="118"/>
      <c r="L41" s="118"/>
      <c r="M41" s="118"/>
    </row>
    <row r="42" spans="1:13" s="1" customFormat="1" ht="15" customHeight="1" x14ac:dyDescent="0.25">
      <c r="A42" s="59">
        <v>3723</v>
      </c>
      <c r="B42" s="61" t="s">
        <v>42</v>
      </c>
      <c r="C42" s="32">
        <v>929994.07999999938</v>
      </c>
      <c r="D42" s="32"/>
      <c r="E42" s="32"/>
      <c r="F42" s="32"/>
      <c r="G42" s="32"/>
      <c r="H42" s="135">
        <f t="shared" si="0"/>
        <v>929994.07999999938</v>
      </c>
      <c r="I42" s="117"/>
      <c r="K42" s="118"/>
      <c r="L42" s="118"/>
      <c r="M42" s="118"/>
    </row>
    <row r="43" spans="1:13" s="1" customFormat="1" ht="15" customHeight="1" x14ac:dyDescent="0.25">
      <c r="A43" s="59">
        <v>3724</v>
      </c>
      <c r="B43" s="61" t="s">
        <v>43</v>
      </c>
      <c r="C43" s="32">
        <v>10104188.469999999</v>
      </c>
      <c r="D43" s="32">
        <v>-75533</v>
      </c>
      <c r="E43" s="32"/>
      <c r="F43" s="32">
        <f>-12565.04</f>
        <v>-12565.04</v>
      </c>
      <c r="G43" s="32"/>
      <c r="H43" s="135">
        <f t="shared" si="0"/>
        <v>10016090.43</v>
      </c>
      <c r="I43" s="117"/>
      <c r="K43" s="118"/>
      <c r="L43" s="118"/>
      <c r="M43" s="118"/>
    </row>
    <row r="44" spans="1:13" s="1" customFormat="1" ht="15" customHeight="1" x14ac:dyDescent="0.25">
      <c r="A44" s="59">
        <v>3725</v>
      </c>
      <c r="B44" s="61" t="s">
        <v>44</v>
      </c>
      <c r="C44" s="32">
        <v>8865770.75</v>
      </c>
      <c r="D44" s="32">
        <v>-120.89</v>
      </c>
      <c r="E44" s="32"/>
      <c r="F44" s="32"/>
      <c r="G44" s="32"/>
      <c r="H44" s="135">
        <f t="shared" si="0"/>
        <v>8865649.8599999994</v>
      </c>
      <c r="I44" s="117"/>
      <c r="K44" s="118"/>
      <c r="L44" s="118"/>
      <c r="M44" s="118"/>
    </row>
    <row r="45" spans="1:13" s="1" customFormat="1" ht="15" customHeight="1" x14ac:dyDescent="0.25">
      <c r="A45" s="59">
        <v>3726</v>
      </c>
      <c r="B45" s="61" t="s">
        <v>45</v>
      </c>
      <c r="C45" s="32">
        <v>1027980.23</v>
      </c>
      <c r="D45" s="32"/>
      <c r="E45" s="32"/>
      <c r="F45" s="32">
        <f>-506283.36</f>
        <v>-506283.36</v>
      </c>
      <c r="G45" s="32"/>
      <c r="H45" s="137">
        <f t="shared" si="0"/>
        <v>521696.87</v>
      </c>
      <c r="I45" s="117"/>
      <c r="K45" s="118"/>
      <c r="L45" s="118"/>
      <c r="M45" s="118"/>
    </row>
    <row r="46" spans="1:13" s="1" customFormat="1" ht="15" customHeight="1" x14ac:dyDescent="0.25">
      <c r="A46" s="59">
        <v>3727</v>
      </c>
      <c r="B46" s="61" t="s">
        <v>46</v>
      </c>
      <c r="C46" s="32">
        <v>11655984.939999999</v>
      </c>
      <c r="D46" s="32"/>
      <c r="E46" s="32"/>
      <c r="F46" s="32">
        <v>-508875</v>
      </c>
      <c r="G46" s="32"/>
      <c r="H46" s="135">
        <f t="shared" si="0"/>
        <v>11147109.939999999</v>
      </c>
      <c r="I46" s="117"/>
      <c r="K46" s="118"/>
      <c r="L46" s="118"/>
      <c r="M46" s="118"/>
    </row>
    <row r="47" spans="1:13" s="1" customFormat="1" ht="15.75" x14ac:dyDescent="0.25">
      <c r="A47" s="59">
        <v>3728</v>
      </c>
      <c r="B47" s="61" t="s">
        <v>47</v>
      </c>
      <c r="C47" s="116">
        <v>-508874.57000000007</v>
      </c>
      <c r="D47" s="32"/>
      <c r="E47" s="32"/>
      <c r="F47" s="32">
        <v>508875</v>
      </c>
      <c r="G47" s="50"/>
      <c r="H47" s="137">
        <f t="shared" si="0"/>
        <v>0.42999999993480742</v>
      </c>
      <c r="I47" s="117"/>
      <c r="K47" s="118"/>
      <c r="L47" s="118"/>
      <c r="M47" s="118"/>
    </row>
    <row r="48" spans="1:13" s="1" customFormat="1" ht="15" customHeight="1" thickBot="1" x14ac:dyDescent="0.3">
      <c r="A48" s="23" t="s">
        <v>67</v>
      </c>
      <c r="B48" s="109" t="s">
        <v>61</v>
      </c>
      <c r="C48" s="110">
        <v>9755886.9100000001</v>
      </c>
      <c r="D48" s="110">
        <v>-14080598.74</v>
      </c>
      <c r="E48" s="110"/>
      <c r="F48" s="110">
        <f>-17126.72-9983-3630-4000</f>
        <v>-34739.72</v>
      </c>
      <c r="G48" s="110"/>
      <c r="H48" s="140">
        <f t="shared" si="0"/>
        <v>-4359451.55</v>
      </c>
      <c r="I48" s="117"/>
      <c r="K48" s="118"/>
      <c r="L48" s="118"/>
      <c r="M48" s="118"/>
    </row>
    <row r="49" spans="1:12" s="1" customFormat="1" ht="30" customHeight="1" thickBot="1" x14ac:dyDescent="0.3">
      <c r="A49" s="60" t="s">
        <v>48</v>
      </c>
      <c r="B49" s="34"/>
      <c r="C49" s="35">
        <f t="shared" ref="C49:H49" si="1">SUM(C6:C48)</f>
        <v>143546991.15000001</v>
      </c>
      <c r="D49" s="35">
        <f t="shared" si="1"/>
        <v>-17887534.330000002</v>
      </c>
      <c r="E49" s="35">
        <f t="shared" si="1"/>
        <v>-4997.8999999999996</v>
      </c>
      <c r="F49" s="35">
        <f t="shared" si="1"/>
        <v>-7628867.1599999992</v>
      </c>
      <c r="G49" s="35">
        <f t="shared" si="1"/>
        <v>0</v>
      </c>
      <c r="H49" s="35">
        <f t="shared" si="1"/>
        <v>118025591.75999999</v>
      </c>
      <c r="K49" s="119"/>
    </row>
    <row r="50" spans="1:12" s="1" customFormat="1" ht="21.75" customHeight="1" x14ac:dyDescent="0.25">
      <c r="A50" s="36"/>
      <c r="B50" s="36"/>
      <c r="C50" s="36"/>
      <c r="D50" s="36"/>
      <c r="E50" s="36"/>
      <c r="F50" s="37"/>
      <c r="G50" s="37"/>
      <c r="H50" s="37"/>
    </row>
    <row r="51" spans="1:12" s="1" customFormat="1" ht="60.75" hidden="1" customHeight="1" x14ac:dyDescent="0.25">
      <c r="A51" s="36"/>
      <c r="B51" s="166" t="s">
        <v>53</v>
      </c>
      <c r="C51" s="166"/>
      <c r="D51" s="166"/>
      <c r="E51" s="166"/>
      <c r="F51" s="166"/>
      <c r="G51" s="166"/>
      <c r="H51" s="166"/>
    </row>
    <row r="52" spans="1:12" ht="17.25" hidden="1" customHeight="1" x14ac:dyDescent="0.3">
      <c r="A52" s="26"/>
      <c r="B52" s="26"/>
      <c r="C52" s="38"/>
      <c r="D52" s="38"/>
      <c r="E52" s="38"/>
      <c r="F52" s="27"/>
      <c r="G52" s="28"/>
      <c r="H52" s="27"/>
    </row>
    <row r="53" spans="1:12" ht="15" hidden="1" customHeight="1" x14ac:dyDescent="0.25"/>
    <row r="54" spans="1:12" ht="15" hidden="1" customHeight="1" x14ac:dyDescent="0.25">
      <c r="F54" s="48"/>
      <c r="H54" s="39"/>
    </row>
    <row r="55" spans="1:12" ht="15" hidden="1" customHeight="1" x14ac:dyDescent="0.25">
      <c r="F55" s="48"/>
      <c r="H55" s="39"/>
    </row>
    <row r="56" spans="1:12" ht="15" hidden="1" customHeight="1" x14ac:dyDescent="0.25">
      <c r="F56" s="48"/>
      <c r="H56" s="39"/>
    </row>
    <row r="57" spans="1:12" ht="15" hidden="1" customHeight="1" x14ac:dyDescent="0.25">
      <c r="F57" s="48"/>
      <c r="H57" s="39"/>
    </row>
    <row r="58" spans="1:12" ht="15" hidden="1" customHeight="1" x14ac:dyDescent="0.25"/>
    <row r="59" spans="1:12" x14ac:dyDescent="0.25">
      <c r="C59" s="39"/>
      <c r="D59" s="39"/>
      <c r="E59" s="39"/>
      <c r="F59" s="48"/>
      <c r="H59" s="2"/>
      <c r="J59" s="39"/>
      <c r="L59" s="39"/>
    </row>
    <row r="60" spans="1:12" x14ac:dyDescent="0.25">
      <c r="F60" s="65"/>
      <c r="G60" s="65"/>
      <c r="H60" s="65"/>
      <c r="L60" s="39"/>
    </row>
    <row r="61" spans="1:12" x14ac:dyDescent="0.25">
      <c r="B61" s="107" t="s">
        <v>66</v>
      </c>
      <c r="C61" s="108">
        <f t="shared" ref="C61:F61" si="2">SUM(C6:C47)</f>
        <v>133791104.24000001</v>
      </c>
      <c r="D61" s="108">
        <f t="shared" si="2"/>
        <v>-3806935.5900000003</v>
      </c>
      <c r="E61" s="108">
        <f t="shared" si="2"/>
        <v>-4997.8999999999996</v>
      </c>
      <c r="F61" s="108">
        <f t="shared" si="2"/>
        <v>-7594127.4399999995</v>
      </c>
      <c r="G61" s="108">
        <f t="shared" ref="G61" si="3">SUM(G6:G47)</f>
        <v>0</v>
      </c>
      <c r="H61" s="108"/>
      <c r="J61" s="39"/>
      <c r="L61" s="39"/>
    </row>
    <row r="62" spans="1:12" x14ac:dyDescent="0.25">
      <c r="B62" s="107" t="s">
        <v>67</v>
      </c>
      <c r="C62" s="108">
        <f t="shared" ref="C62:F62" si="4">C48</f>
        <v>9755886.9100000001</v>
      </c>
      <c r="D62" s="108">
        <f t="shared" si="4"/>
        <v>-14080598.74</v>
      </c>
      <c r="E62" s="108">
        <f t="shared" si="4"/>
        <v>0</v>
      </c>
      <c r="F62" s="108">
        <f t="shared" si="4"/>
        <v>-34739.72</v>
      </c>
      <c r="G62" s="108">
        <f t="shared" ref="G62" si="5">G48</f>
        <v>0</v>
      </c>
      <c r="H62" s="108"/>
    </row>
    <row r="63" spans="1:12" x14ac:dyDescent="0.25">
      <c r="C63" s="108">
        <f t="shared" ref="C63:F63" si="6">SUM(C61:C62)</f>
        <v>143546991.15000001</v>
      </c>
      <c r="D63" s="108">
        <f t="shared" si="6"/>
        <v>-17887534.330000002</v>
      </c>
      <c r="E63" s="108">
        <f t="shared" si="6"/>
        <v>-4997.8999999999996</v>
      </c>
      <c r="F63" s="108">
        <f t="shared" si="6"/>
        <v>-7628867.1599999992</v>
      </c>
      <c r="G63" s="108">
        <f t="shared" ref="G63" si="7">SUM(G61:G62)</f>
        <v>0</v>
      </c>
      <c r="H63" s="108"/>
    </row>
  </sheetData>
  <mergeCells count="8">
    <mergeCell ref="B51:H51"/>
    <mergeCell ref="A4:A5"/>
    <mergeCell ref="B4:B5"/>
    <mergeCell ref="D4:D5"/>
    <mergeCell ref="C4:C5"/>
    <mergeCell ref="F4:F5"/>
    <mergeCell ref="H4:H5"/>
    <mergeCell ref="G4:G5"/>
  </mergeCells>
  <pageMargins left="0.70866141732283472" right="0.70866141732283472" top="0.78740157480314965" bottom="0.78740157480314965" header="0.31496062992125984" footer="0.31496062992125984"/>
  <pageSetup paperSize="8" scale="71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4"/>
  <sheetViews>
    <sheetView topLeftCell="A25" workbookViewId="0">
      <selection activeCell="G35" sqref="G35"/>
    </sheetView>
  </sheetViews>
  <sheetFormatPr defaultRowHeight="15" x14ac:dyDescent="0.25"/>
  <cols>
    <col min="1" max="1" width="11" customWidth="1"/>
    <col min="2" max="3" width="36.7109375" customWidth="1"/>
    <col min="4" max="6" width="13.85546875" customWidth="1"/>
    <col min="7" max="7" width="20.42578125" customWidth="1"/>
    <col min="8" max="8" width="11.28515625" bestFit="1" customWidth="1"/>
  </cols>
  <sheetData>
    <row r="1" spans="1:8" x14ac:dyDescent="0.25">
      <c r="D1" s="2"/>
      <c r="E1" s="2"/>
      <c r="F1" s="2"/>
    </row>
    <row r="2" spans="1:8" ht="33.75" x14ac:dyDescent="0.5">
      <c r="A2" s="84" t="s">
        <v>58</v>
      </c>
      <c r="B2" s="84"/>
      <c r="C2" s="7">
        <v>2020</v>
      </c>
      <c r="G2" s="42"/>
      <c r="H2" s="2"/>
    </row>
    <row r="3" spans="1:8" ht="3.75" customHeight="1" thickBot="1" x14ac:dyDescent="0.55000000000000004">
      <c r="B3" s="7"/>
      <c r="C3" s="7"/>
      <c r="G3" s="42"/>
      <c r="H3" s="2"/>
    </row>
    <row r="4" spans="1:8" ht="15" customHeight="1" x14ac:dyDescent="0.25">
      <c r="A4" s="179" t="s">
        <v>0</v>
      </c>
      <c r="B4" s="181" t="s">
        <v>1</v>
      </c>
      <c r="C4" s="158" t="s">
        <v>73</v>
      </c>
      <c r="D4" s="162" t="s">
        <v>76</v>
      </c>
      <c r="E4" s="162" t="s">
        <v>52</v>
      </c>
      <c r="F4" s="175" t="s">
        <v>77</v>
      </c>
      <c r="G4" s="177" t="s">
        <v>75</v>
      </c>
    </row>
    <row r="5" spans="1:8" ht="135.75" customHeight="1" thickBot="1" x14ac:dyDescent="0.3">
      <c r="A5" s="180"/>
      <c r="B5" s="182"/>
      <c r="C5" s="159"/>
      <c r="D5" s="163"/>
      <c r="E5" s="163"/>
      <c r="F5" s="176" t="s">
        <v>54</v>
      </c>
      <c r="G5" s="178"/>
    </row>
    <row r="6" spans="1:8" s="1" customFormat="1" ht="15" customHeight="1" x14ac:dyDescent="0.25">
      <c r="A6" s="70">
        <v>3110</v>
      </c>
      <c r="B6" s="71" t="s">
        <v>6</v>
      </c>
      <c r="C6" s="102">
        <v>1185.0900000000001</v>
      </c>
      <c r="D6" s="72"/>
      <c r="E6" s="72"/>
      <c r="F6" s="72"/>
      <c r="G6" s="120">
        <f>C6+D6+E6+F6</f>
        <v>1185.0900000000001</v>
      </c>
      <c r="H6" s="98"/>
    </row>
    <row r="7" spans="1:8" s="1" customFormat="1" ht="15" customHeight="1" x14ac:dyDescent="0.25">
      <c r="A7" s="73">
        <v>3111</v>
      </c>
      <c r="B7" s="44" t="s">
        <v>7</v>
      </c>
      <c r="C7" s="51">
        <v>147385.41999999998</v>
      </c>
      <c r="D7" s="51"/>
      <c r="E7" s="51"/>
      <c r="F7" s="51"/>
      <c r="G7" s="121">
        <f t="shared" ref="G7:G48" si="0">C7+D7+E7+F7</f>
        <v>147385.41999999998</v>
      </c>
      <c r="H7" s="98"/>
    </row>
    <row r="8" spans="1:8" s="1" customFormat="1" ht="15" customHeight="1" x14ac:dyDescent="0.25">
      <c r="A8" s="73">
        <v>3112</v>
      </c>
      <c r="B8" s="44" t="s">
        <v>8</v>
      </c>
      <c r="C8" s="51">
        <v>2372.3700000000026</v>
      </c>
      <c r="D8" s="52"/>
      <c r="E8" s="52"/>
      <c r="F8" s="52"/>
      <c r="G8" s="122">
        <f t="shared" si="0"/>
        <v>2372.3700000000026</v>
      </c>
      <c r="H8" s="98"/>
    </row>
    <row r="9" spans="1:8" s="1" customFormat="1" ht="15" customHeight="1" x14ac:dyDescent="0.25">
      <c r="A9" s="73">
        <v>3113</v>
      </c>
      <c r="B9" s="44" t="s">
        <v>9</v>
      </c>
      <c r="C9" s="51">
        <v>8037.6100000000006</v>
      </c>
      <c r="D9" s="52"/>
      <c r="E9" s="52"/>
      <c r="F9" s="52"/>
      <c r="G9" s="122">
        <f t="shared" si="0"/>
        <v>8037.6100000000006</v>
      </c>
      <c r="H9" s="98"/>
    </row>
    <row r="10" spans="1:8" s="1" customFormat="1" ht="15" customHeight="1" x14ac:dyDescent="0.25">
      <c r="A10" s="73">
        <v>3120</v>
      </c>
      <c r="B10" s="43" t="s">
        <v>10</v>
      </c>
      <c r="C10" s="66">
        <v>18160.699999999997</v>
      </c>
      <c r="D10" s="53"/>
      <c r="E10" s="53"/>
      <c r="F10" s="53"/>
      <c r="G10" s="86">
        <f t="shared" si="0"/>
        <v>18160.699999999997</v>
      </c>
      <c r="H10" s="98"/>
    </row>
    <row r="11" spans="1:8" s="1" customFormat="1" ht="15" customHeight="1" x14ac:dyDescent="0.25">
      <c r="A11" s="73">
        <v>3122</v>
      </c>
      <c r="B11" s="44" t="s">
        <v>11</v>
      </c>
      <c r="C11" s="51">
        <v>100312.63999999998</v>
      </c>
      <c r="D11" s="52"/>
      <c r="E11" s="52"/>
      <c r="F11" s="52"/>
      <c r="G11" s="122">
        <f t="shared" si="0"/>
        <v>100312.63999999998</v>
      </c>
      <c r="H11" s="98"/>
    </row>
    <row r="12" spans="1:8" s="1" customFormat="1" ht="15" customHeight="1" x14ac:dyDescent="0.25">
      <c r="A12" s="73">
        <v>3123</v>
      </c>
      <c r="B12" s="44" t="s">
        <v>12</v>
      </c>
      <c r="C12" s="51">
        <v>922573.63000000012</v>
      </c>
      <c r="D12" s="51"/>
      <c r="E12" s="52"/>
      <c r="F12" s="52"/>
      <c r="G12" s="121">
        <f t="shared" si="0"/>
        <v>922573.63000000012</v>
      </c>
      <c r="H12" s="98"/>
    </row>
    <row r="13" spans="1:8" s="1" customFormat="1" ht="15" customHeight="1" x14ac:dyDescent="0.25">
      <c r="A13" s="73">
        <v>3125</v>
      </c>
      <c r="B13" s="44" t="s">
        <v>13</v>
      </c>
      <c r="C13" s="51">
        <v>1332476.93</v>
      </c>
      <c r="D13" s="51"/>
      <c r="E13" s="52"/>
      <c r="F13" s="52">
        <v>-1050000</v>
      </c>
      <c r="G13" s="121">
        <f t="shared" si="0"/>
        <v>282476.92999999993</v>
      </c>
      <c r="H13" s="98"/>
    </row>
    <row r="14" spans="1:8" s="1" customFormat="1" ht="15" customHeight="1" x14ac:dyDescent="0.25">
      <c r="A14" s="73">
        <v>3127</v>
      </c>
      <c r="B14" s="44" t="s">
        <v>14</v>
      </c>
      <c r="C14" s="51">
        <v>169687</v>
      </c>
      <c r="D14" s="51"/>
      <c r="E14" s="52"/>
      <c r="F14" s="52"/>
      <c r="G14" s="121">
        <f t="shared" si="0"/>
        <v>169687</v>
      </c>
      <c r="H14" s="98"/>
    </row>
    <row r="15" spans="1:8" s="1" customFormat="1" ht="15" customHeight="1" x14ac:dyDescent="0.25">
      <c r="A15" s="73">
        <v>3130</v>
      </c>
      <c r="B15" s="43" t="s">
        <v>15</v>
      </c>
      <c r="C15" s="66">
        <v>719396.26</v>
      </c>
      <c r="D15" s="53"/>
      <c r="E15" s="66"/>
      <c r="F15" s="66"/>
      <c r="G15" s="86">
        <f t="shared" si="0"/>
        <v>719396.26</v>
      </c>
      <c r="H15" s="98"/>
    </row>
    <row r="16" spans="1:8" s="1" customFormat="1" ht="15" customHeight="1" x14ac:dyDescent="0.25">
      <c r="A16" s="73">
        <v>3131</v>
      </c>
      <c r="B16" s="44" t="s">
        <v>16</v>
      </c>
      <c r="C16" s="51">
        <v>88457.72</v>
      </c>
      <c r="D16" s="51"/>
      <c r="E16" s="52"/>
      <c r="F16" s="52"/>
      <c r="G16" s="121">
        <f t="shared" si="0"/>
        <v>88457.72</v>
      </c>
      <c r="H16" s="98"/>
    </row>
    <row r="17" spans="1:8" s="1" customFormat="1" ht="15" customHeight="1" x14ac:dyDescent="0.25">
      <c r="A17" s="73">
        <v>3132</v>
      </c>
      <c r="B17" s="44" t="s">
        <v>17</v>
      </c>
      <c r="C17" s="51">
        <v>999759.77</v>
      </c>
      <c r="D17" s="51"/>
      <c r="E17" s="52"/>
      <c r="F17" s="52"/>
      <c r="G17" s="121">
        <f t="shared" si="0"/>
        <v>999759.77</v>
      </c>
      <c r="H17" s="98"/>
    </row>
    <row r="18" spans="1:8" s="1" customFormat="1" ht="15" customHeight="1" x14ac:dyDescent="0.25">
      <c r="A18" s="73">
        <v>3133</v>
      </c>
      <c r="B18" s="44" t="s">
        <v>18</v>
      </c>
      <c r="C18" s="51">
        <v>231653.74000000002</v>
      </c>
      <c r="D18" s="51"/>
      <c r="E18" s="52"/>
      <c r="F18" s="52"/>
      <c r="G18" s="121">
        <f t="shared" si="0"/>
        <v>231653.74000000002</v>
      </c>
      <c r="H18" s="98"/>
    </row>
    <row r="19" spans="1:8" s="1" customFormat="1" ht="15" customHeight="1" x14ac:dyDescent="0.25">
      <c r="A19" s="73">
        <v>3134</v>
      </c>
      <c r="B19" s="44" t="s">
        <v>19</v>
      </c>
      <c r="C19" s="51">
        <v>134766.50999999998</v>
      </c>
      <c r="D19" s="51"/>
      <c r="E19" s="52"/>
      <c r="F19" s="52"/>
      <c r="G19" s="121">
        <f t="shared" si="0"/>
        <v>134766.50999999998</v>
      </c>
      <c r="H19" s="98"/>
    </row>
    <row r="20" spans="1:8" s="1" customFormat="1" ht="15" customHeight="1" x14ac:dyDescent="0.25">
      <c r="A20" s="73">
        <v>3135</v>
      </c>
      <c r="B20" s="44" t="s">
        <v>20</v>
      </c>
      <c r="C20" s="51">
        <v>36681.25</v>
      </c>
      <c r="D20" s="51"/>
      <c r="E20" s="52"/>
      <c r="F20" s="52"/>
      <c r="G20" s="121">
        <f t="shared" si="0"/>
        <v>36681.25</v>
      </c>
      <c r="H20" s="98"/>
    </row>
    <row r="21" spans="1:8" s="1" customFormat="1" ht="15" customHeight="1" x14ac:dyDescent="0.25">
      <c r="A21" s="73">
        <v>3140</v>
      </c>
      <c r="B21" s="43" t="s">
        <v>21</v>
      </c>
      <c r="C21" s="66">
        <v>4.45</v>
      </c>
      <c r="D21" s="53"/>
      <c r="E21" s="66"/>
      <c r="F21" s="66"/>
      <c r="G21" s="86">
        <f t="shared" si="0"/>
        <v>4.45</v>
      </c>
      <c r="H21" s="98"/>
    </row>
    <row r="22" spans="1:8" s="1" customFormat="1" ht="15" customHeight="1" x14ac:dyDescent="0.25">
      <c r="A22" s="73">
        <v>3141</v>
      </c>
      <c r="B22" s="44" t="s">
        <v>22</v>
      </c>
      <c r="C22" s="51">
        <v>597225.97</v>
      </c>
      <c r="D22" s="51"/>
      <c r="E22" s="52"/>
      <c r="F22" s="52">
        <f>-847-10406-1542-32579-60980.49-799-16700-58382.5-3905-208050.17</f>
        <v>-394191.16000000003</v>
      </c>
      <c r="G22" s="122">
        <f t="shared" si="0"/>
        <v>203034.80999999994</v>
      </c>
      <c r="H22" s="98"/>
    </row>
    <row r="23" spans="1:8" s="1" customFormat="1" ht="15" customHeight="1" x14ac:dyDescent="0.25">
      <c r="A23" s="73">
        <v>3142</v>
      </c>
      <c r="B23" s="44" t="s">
        <v>23</v>
      </c>
      <c r="C23" s="51">
        <v>512752.82000000007</v>
      </c>
      <c r="D23" s="51"/>
      <c r="E23" s="52"/>
      <c r="F23" s="52"/>
      <c r="G23" s="121">
        <f t="shared" si="0"/>
        <v>512752.82000000007</v>
      </c>
      <c r="H23" s="98"/>
    </row>
    <row r="24" spans="1:8" s="1" customFormat="1" ht="15" customHeight="1" x14ac:dyDescent="0.25">
      <c r="A24" s="73">
        <v>3143</v>
      </c>
      <c r="B24" s="44" t="s">
        <v>24</v>
      </c>
      <c r="C24" s="51">
        <v>96804.58</v>
      </c>
      <c r="D24" s="51"/>
      <c r="E24" s="52"/>
      <c r="F24" s="52"/>
      <c r="G24" s="121">
        <f t="shared" si="0"/>
        <v>96804.58</v>
      </c>
      <c r="H24" s="98"/>
    </row>
    <row r="25" spans="1:8" s="1" customFormat="1" ht="15" customHeight="1" x14ac:dyDescent="0.25">
      <c r="A25" s="73">
        <v>3144</v>
      </c>
      <c r="B25" s="44" t="s">
        <v>25</v>
      </c>
      <c r="C25" s="51">
        <v>111164.38</v>
      </c>
      <c r="D25" s="51"/>
      <c r="E25" s="52"/>
      <c r="F25" s="52"/>
      <c r="G25" s="121">
        <f t="shared" si="0"/>
        <v>111164.38</v>
      </c>
      <c r="H25" s="98"/>
    </row>
    <row r="26" spans="1:8" s="1" customFormat="1" ht="15" customHeight="1" x14ac:dyDescent="0.25">
      <c r="A26" s="73">
        <v>3145</v>
      </c>
      <c r="B26" s="44" t="s">
        <v>26</v>
      </c>
      <c r="C26" s="51">
        <v>543340.03</v>
      </c>
      <c r="D26" s="51"/>
      <c r="E26" s="52"/>
      <c r="F26" s="52"/>
      <c r="G26" s="121">
        <f t="shared" si="0"/>
        <v>543340.03</v>
      </c>
      <c r="H26" s="98"/>
    </row>
    <row r="27" spans="1:8" s="1" customFormat="1" ht="15" customHeight="1" x14ac:dyDescent="0.25">
      <c r="A27" s="73">
        <v>3150</v>
      </c>
      <c r="B27" s="43" t="s">
        <v>27</v>
      </c>
      <c r="C27" s="66">
        <v>0</v>
      </c>
      <c r="D27" s="53"/>
      <c r="E27" s="66"/>
      <c r="F27" s="66"/>
      <c r="G27" s="86">
        <f t="shared" si="0"/>
        <v>0</v>
      </c>
      <c r="H27" s="98"/>
    </row>
    <row r="28" spans="1:8" s="1" customFormat="1" ht="15" customHeight="1" x14ac:dyDescent="0.25">
      <c r="A28" s="73">
        <v>3151</v>
      </c>
      <c r="B28" s="44" t="s">
        <v>28</v>
      </c>
      <c r="C28" s="51">
        <v>164440.06</v>
      </c>
      <c r="D28" s="51"/>
      <c r="E28" s="52"/>
      <c r="F28" s="52">
        <v>-11716</v>
      </c>
      <c r="G28" s="122">
        <f t="shared" si="0"/>
        <v>152724.06</v>
      </c>
      <c r="H28" s="98"/>
    </row>
    <row r="29" spans="1:8" s="1" customFormat="1" ht="15" customHeight="1" x14ac:dyDescent="0.25">
      <c r="A29" s="73">
        <v>3152</v>
      </c>
      <c r="B29" s="44" t="s">
        <v>29</v>
      </c>
      <c r="C29" s="51">
        <v>31226.329999999987</v>
      </c>
      <c r="D29" s="51"/>
      <c r="E29" s="52"/>
      <c r="F29" s="52"/>
      <c r="G29" s="121">
        <f t="shared" si="0"/>
        <v>31226.329999999987</v>
      </c>
      <c r="H29" s="98"/>
    </row>
    <row r="30" spans="1:8" s="1" customFormat="1" ht="15" customHeight="1" x14ac:dyDescent="0.25">
      <c r="A30" s="73">
        <v>3153</v>
      </c>
      <c r="B30" s="44" t="s">
        <v>30</v>
      </c>
      <c r="C30" s="51">
        <v>119359.61000000002</v>
      </c>
      <c r="D30" s="51"/>
      <c r="E30" s="52"/>
      <c r="F30" s="52"/>
      <c r="G30" s="121">
        <f t="shared" si="0"/>
        <v>119359.61000000002</v>
      </c>
      <c r="H30" s="98"/>
    </row>
    <row r="31" spans="1:8" s="1" customFormat="1" ht="15" customHeight="1" x14ac:dyDescent="0.25">
      <c r="A31" s="73">
        <v>3154</v>
      </c>
      <c r="B31" s="44" t="s">
        <v>31</v>
      </c>
      <c r="C31" s="112">
        <v>-112245.73000000001</v>
      </c>
      <c r="D31" s="51"/>
      <c r="E31" s="52"/>
      <c r="F31" s="52"/>
      <c r="G31" s="127">
        <f t="shared" si="0"/>
        <v>-112245.73000000001</v>
      </c>
      <c r="H31" s="98"/>
    </row>
    <row r="32" spans="1:8" s="1" customFormat="1" ht="15" customHeight="1" x14ac:dyDescent="0.25">
      <c r="A32" s="73">
        <v>3137</v>
      </c>
      <c r="B32" s="45" t="s">
        <v>32</v>
      </c>
      <c r="C32" s="53">
        <v>756116.30999999982</v>
      </c>
      <c r="D32" s="53"/>
      <c r="E32" s="53"/>
      <c r="F32" s="53"/>
      <c r="G32" s="123">
        <f t="shared" si="0"/>
        <v>756116.30999999982</v>
      </c>
      <c r="H32" s="98"/>
    </row>
    <row r="33" spans="1:8" s="1" customFormat="1" ht="15" customHeight="1" x14ac:dyDescent="0.25">
      <c r="A33" s="73">
        <v>3701</v>
      </c>
      <c r="B33" s="44" t="s">
        <v>33</v>
      </c>
      <c r="C33" s="51">
        <v>2310.96</v>
      </c>
      <c r="D33" s="52"/>
      <c r="E33" s="52"/>
      <c r="F33" s="52"/>
      <c r="G33" s="122">
        <f t="shared" si="0"/>
        <v>2310.96</v>
      </c>
      <c r="H33" s="98"/>
    </row>
    <row r="34" spans="1:8" s="1" customFormat="1" ht="15" customHeight="1" x14ac:dyDescent="0.25">
      <c r="A34" s="73">
        <v>3702</v>
      </c>
      <c r="B34" s="44" t="s">
        <v>34</v>
      </c>
      <c r="C34" s="112">
        <v>-118268.35000000003</v>
      </c>
      <c r="D34" s="52"/>
      <c r="E34" s="52"/>
      <c r="F34" s="52"/>
      <c r="G34" s="127">
        <f t="shared" si="0"/>
        <v>-118268.35000000003</v>
      </c>
      <c r="H34" s="98"/>
    </row>
    <row r="35" spans="1:8" s="1" customFormat="1" ht="15" customHeight="1" x14ac:dyDescent="0.25">
      <c r="A35" s="73">
        <v>3703</v>
      </c>
      <c r="B35" s="44" t="s">
        <v>35</v>
      </c>
      <c r="C35" s="112">
        <v>-134379.56000000003</v>
      </c>
      <c r="D35" s="51"/>
      <c r="E35" s="52"/>
      <c r="F35" s="52"/>
      <c r="G35" s="127">
        <f t="shared" si="0"/>
        <v>-134379.56000000003</v>
      </c>
      <c r="H35" s="98"/>
    </row>
    <row r="36" spans="1:8" s="1" customFormat="1" ht="15" customHeight="1" x14ac:dyDescent="0.25">
      <c r="A36" s="73">
        <v>3704</v>
      </c>
      <c r="B36" s="44" t="s">
        <v>36</v>
      </c>
      <c r="C36" s="51">
        <v>309135.48</v>
      </c>
      <c r="D36" s="51"/>
      <c r="E36" s="52"/>
      <c r="F36" s="52"/>
      <c r="G36" s="121">
        <f t="shared" si="0"/>
        <v>309135.48</v>
      </c>
      <c r="H36" s="98"/>
    </row>
    <row r="37" spans="1:8" s="1" customFormat="1" ht="15" customHeight="1" x14ac:dyDescent="0.25">
      <c r="A37" s="73">
        <v>3705</v>
      </c>
      <c r="B37" s="44" t="s">
        <v>37</v>
      </c>
      <c r="C37" s="51">
        <v>54931.61</v>
      </c>
      <c r="D37" s="52"/>
      <c r="E37" s="52"/>
      <c r="F37" s="52"/>
      <c r="G37" s="122">
        <f t="shared" si="0"/>
        <v>54931.61</v>
      </c>
      <c r="H37" s="98"/>
    </row>
    <row r="38" spans="1:8" s="1" customFormat="1" ht="15" customHeight="1" x14ac:dyDescent="0.25">
      <c r="A38" s="73">
        <v>3706</v>
      </c>
      <c r="B38" s="44" t="s">
        <v>38</v>
      </c>
      <c r="C38" s="51">
        <v>99779.59</v>
      </c>
      <c r="D38" s="52"/>
      <c r="E38" s="52"/>
      <c r="F38" s="52"/>
      <c r="G38" s="121">
        <f t="shared" si="0"/>
        <v>99779.59</v>
      </c>
      <c r="H38" s="98"/>
    </row>
    <row r="39" spans="1:8" s="1" customFormat="1" ht="15" customHeight="1" x14ac:dyDescent="0.25">
      <c r="A39" s="73">
        <v>3720</v>
      </c>
      <c r="B39" s="45" t="s">
        <v>39</v>
      </c>
      <c r="C39" s="53">
        <v>552690.98</v>
      </c>
      <c r="D39" s="53"/>
      <c r="E39" s="66"/>
      <c r="F39" s="66"/>
      <c r="G39" s="86">
        <f t="shared" si="0"/>
        <v>552690.98</v>
      </c>
      <c r="H39" s="98"/>
    </row>
    <row r="40" spans="1:8" s="1" customFormat="1" ht="15" customHeight="1" x14ac:dyDescent="0.25">
      <c r="A40" s="73">
        <v>3721</v>
      </c>
      <c r="B40" s="44" t="s">
        <v>40</v>
      </c>
      <c r="C40" s="51">
        <v>3203077.83</v>
      </c>
      <c r="D40" s="52"/>
      <c r="E40" s="52"/>
      <c r="F40" s="52"/>
      <c r="G40" s="122">
        <f t="shared" si="0"/>
        <v>3203077.83</v>
      </c>
      <c r="H40" s="98"/>
    </row>
    <row r="41" spans="1:8" s="1" customFormat="1" ht="15" customHeight="1" x14ac:dyDescent="0.25">
      <c r="A41" s="73">
        <v>3722</v>
      </c>
      <c r="B41" s="44" t="s">
        <v>41</v>
      </c>
      <c r="C41" s="51">
        <v>3937115.17</v>
      </c>
      <c r="D41" s="51"/>
      <c r="E41" s="52"/>
      <c r="F41" s="52"/>
      <c r="G41" s="121">
        <f t="shared" si="0"/>
        <v>3937115.17</v>
      </c>
      <c r="H41" s="98"/>
    </row>
    <row r="42" spans="1:8" s="1" customFormat="1" ht="15" customHeight="1" x14ac:dyDescent="0.25">
      <c r="A42" s="73">
        <v>3723</v>
      </c>
      <c r="B42" s="44" t="s">
        <v>42</v>
      </c>
      <c r="C42" s="51">
        <v>3139249.2299999995</v>
      </c>
      <c r="D42" s="51"/>
      <c r="E42" s="52"/>
      <c r="F42" s="52"/>
      <c r="G42" s="122">
        <f t="shared" si="0"/>
        <v>3139249.2299999995</v>
      </c>
      <c r="H42" s="98"/>
    </row>
    <row r="43" spans="1:8" s="1" customFormat="1" ht="15" customHeight="1" x14ac:dyDescent="0.25">
      <c r="A43" s="73">
        <v>3724</v>
      </c>
      <c r="B43" s="44" t="s">
        <v>43</v>
      </c>
      <c r="C43" s="51">
        <v>8626358.3499999996</v>
      </c>
      <c r="D43" s="52"/>
      <c r="E43" s="52"/>
      <c r="F43" s="52">
        <v>-8365000</v>
      </c>
      <c r="G43" s="122">
        <f t="shared" si="0"/>
        <v>261358.34999999963</v>
      </c>
      <c r="H43" s="98"/>
    </row>
    <row r="44" spans="1:8" s="1" customFormat="1" ht="15" customHeight="1" x14ac:dyDescent="0.25">
      <c r="A44" s="73">
        <v>3725</v>
      </c>
      <c r="B44" s="44" t="s">
        <v>44</v>
      </c>
      <c r="C44" s="51">
        <v>930503.36</v>
      </c>
      <c r="D44" s="52"/>
      <c r="E44" s="52"/>
      <c r="F44" s="52"/>
      <c r="G44" s="122">
        <f t="shared" si="0"/>
        <v>930503.36</v>
      </c>
      <c r="H44" s="98"/>
    </row>
    <row r="45" spans="1:8" s="1" customFormat="1" ht="15" customHeight="1" x14ac:dyDescent="0.25">
      <c r="A45" s="73">
        <v>3726</v>
      </c>
      <c r="B45" s="44" t="s">
        <v>45</v>
      </c>
      <c r="C45" s="51">
        <v>8468819.0500000007</v>
      </c>
      <c r="D45" s="51"/>
      <c r="E45" s="52"/>
      <c r="F45" s="52">
        <f>-506283.36-180939-177454.97-358393.97-1061427-681317.58</f>
        <v>-2965815.88</v>
      </c>
      <c r="G45" s="122">
        <f t="shared" si="0"/>
        <v>5503003.1700000009</v>
      </c>
      <c r="H45" s="98"/>
    </row>
    <row r="46" spans="1:8" s="1" customFormat="1" ht="15" customHeight="1" x14ac:dyDescent="0.25">
      <c r="A46" s="73">
        <v>3727</v>
      </c>
      <c r="B46" s="44" t="s">
        <v>46</v>
      </c>
      <c r="C46" s="51">
        <v>205878.12000000005</v>
      </c>
      <c r="D46" s="51"/>
      <c r="E46" s="52"/>
      <c r="F46" s="52"/>
      <c r="G46" s="122">
        <f t="shared" si="0"/>
        <v>205878.12000000005</v>
      </c>
      <c r="H46" s="98"/>
    </row>
    <row r="47" spans="1:8" s="1" customFormat="1" ht="15.75" x14ac:dyDescent="0.25">
      <c r="A47" s="73">
        <v>3728</v>
      </c>
      <c r="B47" s="44" t="s">
        <v>47</v>
      </c>
      <c r="C47" s="51">
        <v>128570.23000000001</v>
      </c>
      <c r="D47" s="51"/>
      <c r="E47" s="52"/>
      <c r="F47" s="52"/>
      <c r="G47" s="121">
        <f t="shared" si="0"/>
        <v>128570.23000000001</v>
      </c>
      <c r="H47" s="98"/>
    </row>
    <row r="48" spans="1:8" s="1" customFormat="1" ht="15" customHeight="1" thickBot="1" x14ac:dyDescent="0.3">
      <c r="A48" s="124" t="s">
        <v>67</v>
      </c>
      <c r="B48" s="125" t="s">
        <v>61</v>
      </c>
      <c r="C48" s="103">
        <v>10669282.75</v>
      </c>
      <c r="D48" s="103"/>
      <c r="E48" s="74"/>
      <c r="F48" s="74">
        <v>-42350</v>
      </c>
      <c r="G48" s="126">
        <f t="shared" si="0"/>
        <v>10626932.75</v>
      </c>
      <c r="H48" s="98"/>
    </row>
    <row r="49" spans="1:8" s="1" customFormat="1" ht="30" customHeight="1" thickBot="1" x14ac:dyDescent="0.3">
      <c r="A49" s="67" t="s">
        <v>48</v>
      </c>
      <c r="B49" s="68"/>
      <c r="C49" s="104">
        <f t="shared" ref="C49:G49" si="1">SUM(C6:C48)</f>
        <v>47808150.25</v>
      </c>
      <c r="D49" s="69">
        <f t="shared" si="1"/>
        <v>0</v>
      </c>
      <c r="E49" s="69">
        <f t="shared" si="1"/>
        <v>0</v>
      </c>
      <c r="F49" s="69">
        <f t="shared" si="1"/>
        <v>-12829073.039999999</v>
      </c>
      <c r="G49" s="106">
        <f t="shared" si="1"/>
        <v>34979077.210000001</v>
      </c>
      <c r="H49" s="98"/>
    </row>
    <row r="50" spans="1:8" s="1" customFormat="1" ht="21.75" customHeight="1" x14ac:dyDescent="0.25">
      <c r="A50" s="36"/>
      <c r="B50" s="36"/>
      <c r="C50" s="105"/>
      <c r="D50" s="93"/>
      <c r="E50" s="47"/>
      <c r="F50" s="93">
        <f>(E49*-1)+F49</f>
        <v>-12829073.039999999</v>
      </c>
      <c r="G50" s="37"/>
    </row>
    <row r="51" spans="1:8" x14ac:dyDescent="0.25">
      <c r="G51" s="30"/>
    </row>
    <row r="52" spans="1:8" x14ac:dyDescent="0.25">
      <c r="B52" s="107" t="s">
        <v>66</v>
      </c>
      <c r="C52" s="108">
        <f>SUM(C6:C47)</f>
        <v>37138867.5</v>
      </c>
      <c r="D52" s="108">
        <f t="shared" ref="D52:G52" si="2">SUM(D6:D47)</f>
        <v>0</v>
      </c>
      <c r="E52" s="108">
        <f t="shared" si="2"/>
        <v>0</v>
      </c>
      <c r="F52" s="108">
        <f t="shared" si="2"/>
        <v>-12786723.039999999</v>
      </c>
      <c r="G52" s="108">
        <f t="shared" si="2"/>
        <v>24352144.460000001</v>
      </c>
      <c r="H52" s="108"/>
    </row>
    <row r="53" spans="1:8" x14ac:dyDescent="0.25">
      <c r="B53" s="107" t="s">
        <v>67</v>
      </c>
      <c r="C53" s="108">
        <f>C48</f>
        <v>10669282.75</v>
      </c>
      <c r="D53" s="108">
        <f t="shared" ref="D53:G53" si="3">D48</f>
        <v>0</v>
      </c>
      <c r="E53" s="108">
        <f t="shared" si="3"/>
        <v>0</v>
      </c>
      <c r="F53" s="108">
        <f t="shared" si="3"/>
        <v>-42350</v>
      </c>
      <c r="G53" s="108">
        <f t="shared" si="3"/>
        <v>10626932.75</v>
      </c>
      <c r="H53" s="108"/>
    </row>
    <row r="54" spans="1:8" x14ac:dyDescent="0.25">
      <c r="C54" s="108">
        <f>SUM(C52:C53)</f>
        <v>47808150.25</v>
      </c>
      <c r="D54" s="108">
        <f t="shared" ref="D54:G54" si="4">SUM(D52:D53)</f>
        <v>0</v>
      </c>
      <c r="E54" s="108">
        <f t="shared" si="4"/>
        <v>0</v>
      </c>
      <c r="F54" s="108">
        <f t="shared" si="4"/>
        <v>-12829073.039999999</v>
      </c>
      <c r="G54" s="108">
        <f t="shared" si="4"/>
        <v>34979077.210000001</v>
      </c>
      <c r="H54" s="108"/>
    </row>
  </sheetData>
  <mergeCells count="7">
    <mergeCell ref="F4:F5"/>
    <mergeCell ref="G4:G5"/>
    <mergeCell ref="A4:A5"/>
    <mergeCell ref="B4:B5"/>
    <mergeCell ref="D4:D5"/>
    <mergeCell ref="E4:E5"/>
    <mergeCell ref="C4:C5"/>
  </mergeCells>
  <pageMargins left="0.70866141732283472" right="0.70866141732283472" top="0.78740157480314965" bottom="0.78740157480314965" header="0.31496062992125984" footer="0.31496062992125984"/>
  <pageSetup paperSize="8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FRIM - 80, 81</vt:lpstr>
      <vt:lpstr>FRIM - kapit. 30</vt:lpstr>
      <vt:lpstr> FPP - 82</vt:lpstr>
      <vt:lpstr>FPP HV - 82</vt:lpstr>
    </vt:vector>
  </TitlesOfParts>
  <Company>Univerzita Palackého v Olomouci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Lenka Káňová</dc:creator>
  <cp:lastModifiedBy>Ing. Lenka Káňová</cp:lastModifiedBy>
  <cp:lastPrinted>2020-10-08T09:49:39Z</cp:lastPrinted>
  <dcterms:created xsi:type="dcterms:W3CDTF">2018-07-23T08:23:15Z</dcterms:created>
  <dcterms:modified xsi:type="dcterms:W3CDTF">2020-10-20T06:46:06Z</dcterms:modified>
</cp:coreProperties>
</file>