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KolegiumDekana\Rozpocet2021\Deleni_na_strediska\"/>
    </mc:Choice>
  </mc:AlternateContent>
  <bookViews>
    <workbookView xWindow="0" yWindow="0" windowWidth="23040" windowHeight="9195"/>
  </bookViews>
  <sheets>
    <sheet name="Rozpočet 2020" sheetId="17" r:id="rId1"/>
    <sheet name="srovnání s rokem 2014-hodnoty" sheetId="18" state="hidden" r:id="rId2"/>
    <sheet name="Rozpočet 2016" sheetId="20" state="hidden" r:id="rId3"/>
  </sheets>
  <calcPr calcId="162913"/>
</workbook>
</file>

<file path=xl/calcChain.xml><?xml version="1.0" encoding="utf-8"?>
<calcChain xmlns="http://schemas.openxmlformats.org/spreadsheetml/2006/main">
  <c r="O33" i="17" l="1"/>
  <c r="O34" i="17"/>
  <c r="O23" i="17" l="1"/>
  <c r="O39" i="17"/>
  <c r="N16" i="17" l="1"/>
  <c r="N51" i="17"/>
  <c r="N50" i="17"/>
  <c r="O31" i="17"/>
  <c r="L16" i="17" l="1"/>
  <c r="H16" i="17" l="1"/>
  <c r="J51" i="17" l="1"/>
  <c r="I51" i="17"/>
  <c r="H51" i="17"/>
  <c r="K50" i="17"/>
  <c r="P50" i="17" s="1"/>
  <c r="I16" i="17" l="1"/>
  <c r="K18" i="17" l="1"/>
  <c r="M18" i="17"/>
  <c r="R18" i="17" l="1"/>
  <c r="AC18" i="17" s="1"/>
  <c r="P18" i="17"/>
  <c r="AA18" i="17" s="1"/>
  <c r="AC40" i="17"/>
  <c r="AC32" i="17"/>
  <c r="AC26" i="17"/>
  <c r="AC21" i="17"/>
  <c r="AC15" i="17"/>
  <c r="AA15" i="17"/>
  <c r="AD14" i="17"/>
  <c r="AC14" i="17"/>
  <c r="AB14" i="17"/>
  <c r="AA14" i="17"/>
  <c r="Z40" i="17"/>
  <c r="Z32" i="17"/>
  <c r="Z26" i="17"/>
  <c r="Z21" i="17"/>
  <c r="Z17" i="17"/>
  <c r="R39" i="17"/>
  <c r="AC39" i="17" s="1"/>
  <c r="R38" i="17"/>
  <c r="AC38" i="17" s="1"/>
  <c r="K39" i="17"/>
  <c r="P39" i="17" s="1"/>
  <c r="AA39" i="17" s="1"/>
  <c r="K38" i="17"/>
  <c r="P38" i="17" s="1"/>
  <c r="AA38" i="17" l="1"/>
  <c r="R7" i="17" l="1"/>
  <c r="AC7" i="17" s="1"/>
  <c r="Z51" i="17"/>
  <c r="Y51" i="17"/>
  <c r="W51" i="17"/>
  <c r="V51" i="17"/>
  <c r="AD17" i="17"/>
  <c r="AB17" i="17"/>
  <c r="AA17" i="17"/>
  <c r="M12" i="17" l="1"/>
  <c r="R12" i="17" s="1"/>
  <c r="AC12" i="17" s="1"/>
  <c r="M9" i="17"/>
  <c r="R9" i="17" s="1"/>
  <c r="AC9" i="17" s="1"/>
  <c r="R16" i="17"/>
  <c r="AC16" i="17" s="1"/>
  <c r="M49" i="17"/>
  <c r="R49" i="17" s="1"/>
  <c r="AC49" i="17" s="1"/>
  <c r="M48" i="17"/>
  <c r="R48" i="17" s="1"/>
  <c r="AC48" i="17" s="1"/>
  <c r="M47" i="17"/>
  <c r="R47" i="17" s="1"/>
  <c r="AC47" i="17" s="1"/>
  <c r="M46" i="17"/>
  <c r="R46" i="17" s="1"/>
  <c r="AC46" i="17" s="1"/>
  <c r="M45" i="17"/>
  <c r="R45" i="17" s="1"/>
  <c r="AC45" i="17" s="1"/>
  <c r="M44" i="17"/>
  <c r="R44" i="17" s="1"/>
  <c r="AC44" i="17" s="1"/>
  <c r="M43" i="17"/>
  <c r="R43" i="17" s="1"/>
  <c r="AC43" i="17" s="1"/>
  <c r="M42" i="17"/>
  <c r="R42" i="17" s="1"/>
  <c r="AC42" i="17" s="1"/>
  <c r="M41" i="17"/>
  <c r="R41" i="17" s="1"/>
  <c r="AC41" i="17" s="1"/>
  <c r="M37" i="17"/>
  <c r="R37" i="17" s="1"/>
  <c r="AC37" i="17" s="1"/>
  <c r="M36" i="17"/>
  <c r="R36" i="17" s="1"/>
  <c r="AC36" i="17" s="1"/>
  <c r="M35" i="17"/>
  <c r="R35" i="17" s="1"/>
  <c r="AC35" i="17" s="1"/>
  <c r="M34" i="17"/>
  <c r="R34" i="17" s="1"/>
  <c r="AC34" i="17" s="1"/>
  <c r="M33" i="17"/>
  <c r="R33" i="17" s="1"/>
  <c r="AC33" i="17" s="1"/>
  <c r="M31" i="17"/>
  <c r="R31" i="17" s="1"/>
  <c r="AC31" i="17" s="1"/>
  <c r="M30" i="17"/>
  <c r="R30" i="17" s="1"/>
  <c r="AC30" i="17" s="1"/>
  <c r="M29" i="17"/>
  <c r="R29" i="17" s="1"/>
  <c r="AC29" i="17" s="1"/>
  <c r="M28" i="17"/>
  <c r="R28" i="17" s="1"/>
  <c r="AC28" i="17" s="1"/>
  <c r="M27" i="17"/>
  <c r="R27" i="17" s="1"/>
  <c r="AC27" i="17" s="1"/>
  <c r="M25" i="17"/>
  <c r="R25" i="17" s="1"/>
  <c r="AC25" i="17" s="1"/>
  <c r="M24" i="17"/>
  <c r="R24" i="17" s="1"/>
  <c r="AC24" i="17" s="1"/>
  <c r="M23" i="17"/>
  <c r="R23" i="17" s="1"/>
  <c r="AC23" i="17" s="1"/>
  <c r="M22" i="17"/>
  <c r="R22" i="17" s="1"/>
  <c r="AC22" i="17" s="1"/>
  <c r="M20" i="17"/>
  <c r="R20" i="17" s="1"/>
  <c r="AC20" i="17" s="1"/>
  <c r="M19" i="17"/>
  <c r="J16" i="17"/>
  <c r="R19" i="17" l="1"/>
  <c r="AC19" i="17" s="1"/>
  <c r="M51" i="17"/>
  <c r="M13" i="17"/>
  <c r="M16" i="17" l="1"/>
  <c r="R13" i="17"/>
  <c r="AC13" i="17" s="1"/>
  <c r="G16" i="17"/>
  <c r="F16" i="17"/>
  <c r="E16" i="17"/>
  <c r="D16" i="17"/>
  <c r="G51" i="17"/>
  <c r="K49" i="17" l="1"/>
  <c r="K48" i="17"/>
  <c r="K47" i="17"/>
  <c r="K46" i="17"/>
  <c r="K45" i="17"/>
  <c r="K44" i="17"/>
  <c r="K43" i="17"/>
  <c r="K42" i="17"/>
  <c r="K41" i="17"/>
  <c r="K37" i="17"/>
  <c r="K36" i="17"/>
  <c r="K35" i="17"/>
  <c r="K34" i="17"/>
  <c r="K33" i="17"/>
  <c r="K31" i="17"/>
  <c r="K30" i="17"/>
  <c r="K29" i="17"/>
  <c r="K28" i="17"/>
  <c r="K27" i="17"/>
  <c r="K25" i="17"/>
  <c r="K24" i="17"/>
  <c r="K23" i="17"/>
  <c r="K22" i="17"/>
  <c r="K20" i="17"/>
  <c r="K19" i="17"/>
  <c r="K51" i="17" l="1"/>
  <c r="AP51" i="17"/>
  <c r="AO51" i="17"/>
  <c r="AI51" i="17"/>
  <c r="AH51" i="17"/>
  <c r="AG51" i="17"/>
  <c r="AF51" i="17"/>
  <c r="O51" i="17"/>
  <c r="D51" i="17"/>
  <c r="AQ40" i="17" l="1"/>
  <c r="AQ32" i="17"/>
  <c r="AQ26" i="17"/>
  <c r="AQ21" i="17"/>
  <c r="AQ17" i="17"/>
  <c r="AP7" i="17"/>
  <c r="AQ51" i="17" l="1"/>
  <c r="E51" i="17"/>
  <c r="F51" i="17"/>
  <c r="AR18" i="17" l="1"/>
  <c r="AJ18" i="17"/>
  <c r="O16" i="17" l="1"/>
  <c r="AL17" i="17"/>
  <c r="AK17" i="17"/>
  <c r="AJ17" i="17"/>
  <c r="AJ15" i="17"/>
  <c r="AL14" i="17"/>
  <c r="AK14" i="17"/>
  <c r="AJ14" i="17"/>
  <c r="P47" i="17"/>
  <c r="AA47" i="17" s="1"/>
  <c r="P44" i="17"/>
  <c r="AA44" i="17" s="1"/>
  <c r="P42" i="17"/>
  <c r="AA42" i="17" s="1"/>
  <c r="P36" i="17"/>
  <c r="AA36" i="17" s="1"/>
  <c r="P34" i="17"/>
  <c r="AA34" i="17" s="1"/>
  <c r="Q32" i="17"/>
  <c r="P32" i="17"/>
  <c r="AA32" i="17" s="1"/>
  <c r="P28" i="17"/>
  <c r="AA28" i="17" s="1"/>
  <c r="P26" i="17"/>
  <c r="AA26" i="17" s="1"/>
  <c r="P24" i="17"/>
  <c r="AA24" i="17" s="1"/>
  <c r="P20" i="17"/>
  <c r="AA20" i="17" s="1"/>
  <c r="P49" i="17"/>
  <c r="AA49" i="17" s="1"/>
  <c r="P48" i="17"/>
  <c r="AA48" i="17" s="1"/>
  <c r="P46" i="17"/>
  <c r="AA46" i="17" s="1"/>
  <c r="P45" i="17"/>
  <c r="AA45" i="17" s="1"/>
  <c r="P43" i="17"/>
  <c r="AA43" i="17" s="1"/>
  <c r="P41" i="17"/>
  <c r="AA41" i="17" s="1"/>
  <c r="Q40" i="17"/>
  <c r="AB40" i="17" s="1"/>
  <c r="P40" i="17"/>
  <c r="AA40" i="17" s="1"/>
  <c r="P37" i="17"/>
  <c r="AA37" i="17" s="1"/>
  <c r="P35" i="17"/>
  <c r="AA35" i="17" s="1"/>
  <c r="P33" i="17"/>
  <c r="AA33" i="17" s="1"/>
  <c r="P31" i="17"/>
  <c r="AA31" i="17" s="1"/>
  <c r="P30" i="17"/>
  <c r="AA30" i="17" s="1"/>
  <c r="P29" i="17"/>
  <c r="AA29" i="17" s="1"/>
  <c r="P27" i="17"/>
  <c r="AA27" i="17" s="1"/>
  <c r="Q26" i="17"/>
  <c r="P25" i="17"/>
  <c r="AA25" i="17" s="1"/>
  <c r="P23" i="17"/>
  <c r="AA23" i="17" s="1"/>
  <c r="P22" i="17"/>
  <c r="AA22" i="17" s="1"/>
  <c r="Q21" i="17"/>
  <c r="AB21" i="17" s="1"/>
  <c r="P21" i="17"/>
  <c r="AA21" i="17" s="1"/>
  <c r="P19" i="17"/>
  <c r="AA19" i="17" s="1"/>
  <c r="AK26" i="17" l="1"/>
  <c r="AB26" i="17"/>
  <c r="AK32" i="17"/>
  <c r="AB32" i="17"/>
  <c r="AA51" i="17"/>
  <c r="AK40" i="17"/>
  <c r="S40" i="17"/>
  <c r="AD40" i="17" s="1"/>
  <c r="AJ21" i="17"/>
  <c r="S21" i="17"/>
  <c r="AJ49" i="17"/>
  <c r="S26" i="17"/>
  <c r="AJ37" i="17"/>
  <c r="AJ33" i="17"/>
  <c r="AJ45" i="17"/>
  <c r="AJ28" i="17"/>
  <c r="AJ36" i="17"/>
  <c r="AJ47" i="17"/>
  <c r="AJ43" i="17"/>
  <c r="AJ24" i="17"/>
  <c r="AJ29" i="17"/>
  <c r="AJ20" i="17"/>
  <c r="AJ32" i="17"/>
  <c r="S32" i="17"/>
  <c r="AJ42" i="17"/>
  <c r="P51" i="17"/>
  <c r="AK21" i="17"/>
  <c r="AJ22" i="17"/>
  <c r="AJ30" i="17"/>
  <c r="AJ40" i="17"/>
  <c r="AJ46" i="17"/>
  <c r="AJ48" i="17"/>
  <c r="AJ19" i="17"/>
  <c r="AJ23" i="17"/>
  <c r="AJ27" i="17"/>
  <c r="AJ31" i="17"/>
  <c r="AJ35" i="17"/>
  <c r="AJ41" i="17"/>
  <c r="P16" i="17"/>
  <c r="AJ34" i="17"/>
  <c r="AJ44" i="17"/>
  <c r="AJ25" i="17"/>
  <c r="AJ26" i="17"/>
  <c r="AL40" i="17" l="1"/>
  <c r="AL26" i="17"/>
  <c r="AD26" i="17"/>
  <c r="AL32" i="17"/>
  <c r="AD32" i="17"/>
  <c r="AL21" i="17"/>
  <c r="AD21" i="17"/>
  <c r="AJ16" i="17"/>
  <c r="AA16" i="17"/>
  <c r="AJ51" i="17"/>
  <c r="L11" i="17"/>
  <c r="L12" i="17" s="1"/>
  <c r="L8" i="17"/>
  <c r="L18" i="17" l="1"/>
  <c r="Q18" i="17" s="1"/>
  <c r="S18" i="17" s="1"/>
  <c r="AD18" i="17" s="1"/>
  <c r="L39" i="17"/>
  <c r="Q39" i="17" s="1"/>
  <c r="L38" i="17"/>
  <c r="Q38" i="17" s="1"/>
  <c r="L44" i="17"/>
  <c r="Q44" i="17" s="1"/>
  <c r="L33" i="17"/>
  <c r="Q33" i="17" s="1"/>
  <c r="L23" i="17"/>
  <c r="Q23" i="17" s="1"/>
  <c r="L30" i="17"/>
  <c r="Q30" i="17" s="1"/>
  <c r="L37" i="17"/>
  <c r="Q37" i="17" s="1"/>
  <c r="L34" i="17"/>
  <c r="Q34" i="17" s="1"/>
  <c r="L43" i="17"/>
  <c r="Q43" i="17" s="1"/>
  <c r="L31" i="17"/>
  <c r="Q31" i="17" s="1"/>
  <c r="L22" i="17"/>
  <c r="Q22" i="17" s="1"/>
  <c r="L42" i="17"/>
  <c r="Q42" i="17" s="1"/>
  <c r="L19" i="17"/>
  <c r="Q19" i="17" s="1"/>
  <c r="L27" i="17"/>
  <c r="Q27" i="17" s="1"/>
  <c r="L49" i="17"/>
  <c r="Q49" i="17" s="1"/>
  <c r="L47" i="17"/>
  <c r="Q47" i="17" s="1"/>
  <c r="L20" i="17"/>
  <c r="Q20" i="17" s="1"/>
  <c r="L36" i="17"/>
  <c r="Q36" i="17" s="1"/>
  <c r="L25" i="17"/>
  <c r="Q25" i="17" s="1"/>
  <c r="L24" i="17"/>
  <c r="Q24" i="17" s="1"/>
  <c r="L41" i="17"/>
  <c r="Q41" i="17" s="1"/>
  <c r="AB41" i="17" s="1"/>
  <c r="L29" i="17"/>
  <c r="Q29" i="17" s="1"/>
  <c r="L45" i="17"/>
  <c r="Q45" i="17" s="1"/>
  <c r="L35" i="17"/>
  <c r="Q35" i="17" s="1"/>
  <c r="L48" i="17"/>
  <c r="Q48" i="17" s="1"/>
  <c r="L46" i="17"/>
  <c r="Q46" i="17" s="1"/>
  <c r="L28" i="17"/>
  <c r="Q28" i="17" s="1"/>
  <c r="Q12" i="17"/>
  <c r="AB12" i="17" s="1"/>
  <c r="K12" i="17"/>
  <c r="L9" i="17"/>
  <c r="Q9" i="17" s="1"/>
  <c r="K9" i="17"/>
  <c r="L51" i="17" l="1"/>
  <c r="AB18" i="17"/>
  <c r="S49" i="17"/>
  <c r="AD49" i="17" s="1"/>
  <c r="AB49" i="17"/>
  <c r="S43" i="17"/>
  <c r="AD43" i="17" s="1"/>
  <c r="AB43" i="17"/>
  <c r="S23" i="17"/>
  <c r="AD23" i="17" s="1"/>
  <c r="AB23" i="17"/>
  <c r="S47" i="17"/>
  <c r="AD47" i="17" s="1"/>
  <c r="AB47" i="17"/>
  <c r="S33" i="17"/>
  <c r="AB33" i="17"/>
  <c r="S44" i="17"/>
  <c r="AD44" i="17" s="1"/>
  <c r="AB44" i="17"/>
  <c r="S28" i="17"/>
  <c r="AD28" i="17" s="1"/>
  <c r="AB28" i="17"/>
  <c r="S27" i="17"/>
  <c r="AD27" i="17" s="1"/>
  <c r="AB27" i="17"/>
  <c r="S29" i="17"/>
  <c r="AD29" i="17" s="1"/>
  <c r="AB29" i="17"/>
  <c r="S46" i="17"/>
  <c r="AD46" i="17" s="1"/>
  <c r="AB46" i="17"/>
  <c r="S34" i="17"/>
  <c r="AD34" i="17" s="1"/>
  <c r="AB34" i="17"/>
  <c r="AK9" i="17"/>
  <c r="AB9" i="17"/>
  <c r="S24" i="17"/>
  <c r="AD24" i="17" s="1"/>
  <c r="AB24" i="17"/>
  <c r="S48" i="17"/>
  <c r="AD48" i="17" s="1"/>
  <c r="AB48" i="17"/>
  <c r="S25" i="17"/>
  <c r="AD25" i="17" s="1"/>
  <c r="AB25" i="17"/>
  <c r="S19" i="17"/>
  <c r="AD19" i="17" s="1"/>
  <c r="AB19" i="17"/>
  <c r="S30" i="17"/>
  <c r="AD30" i="17" s="1"/>
  <c r="AB30" i="17"/>
  <c r="S36" i="17"/>
  <c r="AD36" i="17" s="1"/>
  <c r="AB36" i="17"/>
  <c r="AB38" i="17"/>
  <c r="S38" i="17"/>
  <c r="AD38" i="17" s="1"/>
  <c r="S31" i="17"/>
  <c r="AD31" i="17" s="1"/>
  <c r="AB31" i="17"/>
  <c r="S35" i="17"/>
  <c r="AD35" i="17" s="1"/>
  <c r="AB35" i="17"/>
  <c r="S42" i="17"/>
  <c r="AD42" i="17" s="1"/>
  <c r="AB42" i="17"/>
  <c r="S45" i="17"/>
  <c r="AD45" i="17" s="1"/>
  <c r="AB45" i="17"/>
  <c r="S20" i="17"/>
  <c r="AD20" i="17" s="1"/>
  <c r="AB20" i="17"/>
  <c r="S22" i="17"/>
  <c r="AD22" i="17" s="1"/>
  <c r="AB22" i="17"/>
  <c r="S37" i="17"/>
  <c r="AD37" i="17" s="1"/>
  <c r="AB37" i="17"/>
  <c r="AB39" i="17"/>
  <c r="S39" i="17"/>
  <c r="AD39" i="17" s="1"/>
  <c r="S41" i="17"/>
  <c r="AD41" i="17" s="1"/>
  <c r="R51" i="17"/>
  <c r="P9" i="17"/>
  <c r="P12" i="17"/>
  <c r="AK12" i="17"/>
  <c r="AK31" i="17"/>
  <c r="AK42" i="17"/>
  <c r="AK43" i="17"/>
  <c r="AK25" i="17"/>
  <c r="AK36" i="17"/>
  <c r="AK19" i="17"/>
  <c r="AK37" i="17"/>
  <c r="AK20" i="17"/>
  <c r="AK45" i="17"/>
  <c r="AK41" i="17"/>
  <c r="AK22" i="17"/>
  <c r="AK28" i="17"/>
  <c r="AK48" i="17"/>
  <c r="AK24" i="17"/>
  <c r="AK44" i="17"/>
  <c r="AK27" i="17"/>
  <c r="AK23" i="17"/>
  <c r="AK46" i="17"/>
  <c r="AK33" i="17"/>
  <c r="AK30" i="17"/>
  <c r="AK47" i="17"/>
  <c r="AK49" i="17"/>
  <c r="AK29" i="17"/>
  <c r="AK35" i="17"/>
  <c r="AK34" i="17"/>
  <c r="L13" i="17"/>
  <c r="Q7" i="17"/>
  <c r="K13" i="17"/>
  <c r="P7" i="17"/>
  <c r="AA7" i="17" s="1"/>
  <c r="AL49" i="17" l="1"/>
  <c r="AL44" i="17"/>
  <c r="AL31" i="17"/>
  <c r="AL35" i="17"/>
  <c r="AL47" i="17"/>
  <c r="AL36" i="17"/>
  <c r="AL29" i="17"/>
  <c r="AL25" i="17"/>
  <c r="AL45" i="17"/>
  <c r="AL20" i="17"/>
  <c r="AL30" i="17"/>
  <c r="AL46" i="17"/>
  <c r="AJ12" i="17"/>
  <c r="AA12" i="17"/>
  <c r="AL19" i="17"/>
  <c r="AL43" i="17"/>
  <c r="AL37" i="17"/>
  <c r="T32" i="17"/>
  <c r="AD33" i="17"/>
  <c r="AL24" i="17"/>
  <c r="AL48" i="17"/>
  <c r="AK7" i="17"/>
  <c r="AB7" i="17"/>
  <c r="AL23" i="17"/>
  <c r="AL34" i="17"/>
  <c r="AL28" i="17"/>
  <c r="AL42" i="17"/>
  <c r="S9" i="17"/>
  <c r="AA9" i="17"/>
  <c r="AB51" i="17"/>
  <c r="AJ9" i="17"/>
  <c r="S12" i="17"/>
  <c r="AJ7" i="17"/>
  <c r="S7" i="17"/>
  <c r="Q51" i="17"/>
  <c r="P13" i="17"/>
  <c r="K16" i="17"/>
  <c r="Q13" i="17"/>
  <c r="AB13" i="17" s="1"/>
  <c r="AS18" i="17"/>
  <c r="AK18" i="17"/>
  <c r="AK51" i="17" s="1"/>
  <c r="AL41" i="17"/>
  <c r="T40" i="17"/>
  <c r="AL27" i="17"/>
  <c r="T26" i="17"/>
  <c r="AL33" i="17"/>
  <c r="AL22" i="17"/>
  <c r="T21" i="17"/>
  <c r="Q16" i="17"/>
  <c r="AL12" i="17" l="1"/>
  <c r="AD12" i="17"/>
  <c r="AJ13" i="17"/>
  <c r="AA13" i="17"/>
  <c r="S51" i="17"/>
  <c r="AD51" i="17"/>
  <c r="AL9" i="17"/>
  <c r="AD9" i="17"/>
  <c r="AL7" i="17"/>
  <c r="AD7" i="17"/>
  <c r="AK16" i="17"/>
  <c r="AB16" i="17"/>
  <c r="AK13" i="17"/>
  <c r="S13" i="17"/>
  <c r="AT18" i="17"/>
  <c r="AM26" i="17"/>
  <c r="AU26" i="17"/>
  <c r="AM32" i="17"/>
  <c r="AU32" i="17"/>
  <c r="AM21" i="17"/>
  <c r="AU21" i="17"/>
  <c r="AM40" i="17"/>
  <c r="AU40" i="17"/>
  <c r="AL18" i="17"/>
  <c r="AL51" i="17" s="1"/>
  <c r="T17" i="17"/>
  <c r="AU17" i="17" s="1"/>
  <c r="S16" i="17"/>
  <c r="AL13" i="17" l="1"/>
  <c r="AD13" i="17"/>
  <c r="AL16" i="17"/>
  <c r="AD16" i="17"/>
  <c r="AN51" i="17"/>
  <c r="T51" i="17"/>
  <c r="AM17" i="17"/>
  <c r="AM51" i="17" s="1"/>
  <c r="AR15" i="17"/>
  <c r="AS14" i="17"/>
  <c r="AS13" i="17"/>
  <c r="AR9" i="17"/>
  <c r="AS7" i="17"/>
  <c r="AR7" i="17"/>
  <c r="AT14" i="17"/>
  <c r="AT13" i="17"/>
  <c r="AS49" i="17"/>
  <c r="AS48" i="17"/>
  <c r="AS47" i="17"/>
  <c r="AS46" i="17"/>
  <c r="AS45" i="17"/>
  <c r="AS44" i="17"/>
  <c r="AS43" i="17"/>
  <c r="AS42" i="17"/>
  <c r="AS41" i="17"/>
  <c r="AS40" i="17"/>
  <c r="AS37" i="17"/>
  <c r="AS36" i="17"/>
  <c r="AS35" i="17"/>
  <c r="AS34" i="17"/>
  <c r="AS33" i="17"/>
  <c r="AS32" i="17"/>
  <c r="AS31" i="17"/>
  <c r="AS30" i="17"/>
  <c r="AS29" i="17"/>
  <c r="AS28" i="17"/>
  <c r="AS27" i="17"/>
  <c r="AS26" i="17"/>
  <c r="AS25" i="17"/>
  <c r="AS24" i="17"/>
  <c r="AS23" i="17"/>
  <c r="AS22" i="17"/>
  <c r="AS21" i="17"/>
  <c r="AS20" i="17"/>
  <c r="AS19" i="17"/>
  <c r="AS9" i="17"/>
  <c r="AR13" i="17" l="1"/>
  <c r="AT9" i="17"/>
  <c r="AS17" i="17" l="1"/>
  <c r="AR14" i="17" l="1"/>
  <c r="AR21" i="17" l="1"/>
  <c r="AR26" i="17"/>
  <c r="AR32" i="17"/>
  <c r="AR40" i="17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I44" i="20"/>
  <c r="R44" i="20" s="1"/>
  <c r="V43" i="20"/>
  <c r="X43" i="20" s="1"/>
  <c r="I43" i="20"/>
  <c r="R43" i="20" s="1"/>
  <c r="I42" i="20"/>
  <c r="R42" i="20" s="1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H9" i="20"/>
  <c r="H12" i="20" s="1"/>
  <c r="O8" i="20"/>
  <c r="I8" i="20"/>
  <c r="J8" i="20" s="1"/>
  <c r="H2" i="20"/>
  <c r="I2" i="20" l="1"/>
  <c r="I9" i="20"/>
  <c r="I12" i="20" s="1"/>
  <c r="I13" i="20" s="1"/>
  <c r="R13" i="20" s="1"/>
  <c r="I11" i="20"/>
  <c r="E62" i="20"/>
  <c r="X41" i="20"/>
  <c r="G62" i="20"/>
  <c r="I18" i="20"/>
  <c r="R18" i="20" s="1"/>
  <c r="I62" i="20"/>
  <c r="D18" i="20"/>
  <c r="D62" i="20" s="1"/>
  <c r="AR17" i="17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1" i="20" l="1"/>
  <c r="Y43" i="20"/>
  <c r="K18" i="20"/>
  <c r="S13" i="20"/>
  <c r="K13" i="20"/>
  <c r="K15" i="20" s="1"/>
  <c r="S40" i="20"/>
  <c r="AT7" i="17" l="1"/>
  <c r="F46" i="20" l="1"/>
  <c r="H46" i="20" s="1"/>
  <c r="F20" i="20" l="1"/>
  <c r="J46" i="20"/>
  <c r="Q46" i="20"/>
  <c r="S46" i="20" s="1"/>
  <c r="H20" i="20" l="1"/>
  <c r="J20" i="20" l="1"/>
  <c r="Q20" i="20"/>
  <c r="S20" i="20" s="1"/>
  <c r="F53" i="20" l="1"/>
  <c r="AR33" i="17"/>
  <c r="F35" i="20"/>
  <c r="H35" i="20" s="1"/>
  <c r="AR24" i="17"/>
  <c r="F26" i="20"/>
  <c r="H26" i="20" s="1"/>
  <c r="F44" i="20"/>
  <c r="H44" i="20" s="1"/>
  <c r="AR44" i="17"/>
  <c r="AR23" i="17"/>
  <c r="F25" i="20"/>
  <c r="H25" i="20" s="1"/>
  <c r="AR34" i="17" l="1"/>
  <c r="F36" i="20"/>
  <c r="H36" i="20" s="1"/>
  <c r="AR45" i="17"/>
  <c r="F47" i="20"/>
  <c r="H47" i="20" s="1"/>
  <c r="F48" i="20"/>
  <c r="H48" i="20" s="1"/>
  <c r="AR46" i="17"/>
  <c r="F49" i="20"/>
  <c r="H49" i="20" s="1"/>
  <c r="AR41" i="17"/>
  <c r="F41" i="20"/>
  <c r="H41" i="20" s="1"/>
  <c r="AR30" i="17"/>
  <c r="F32" i="20"/>
  <c r="H32" i="20" s="1"/>
  <c r="F51" i="20"/>
  <c r="H51" i="20" s="1"/>
  <c r="AR43" i="17"/>
  <c r="F43" i="20"/>
  <c r="H43" i="20" s="1"/>
  <c r="F54" i="20"/>
  <c r="AR35" i="17"/>
  <c r="F37" i="20"/>
  <c r="H37" i="20" s="1"/>
  <c r="F55" i="20"/>
  <c r="H55" i="20" s="1"/>
  <c r="AR36" i="17"/>
  <c r="F38" i="20"/>
  <c r="H38" i="20" s="1"/>
  <c r="F56" i="20"/>
  <c r="H56" i="20" s="1"/>
  <c r="AR48" i="17"/>
  <c r="AR37" i="17"/>
  <c r="F39" i="20"/>
  <c r="H39" i="20" s="1"/>
  <c r="F57" i="20"/>
  <c r="AR29" i="17"/>
  <c r="F31" i="20"/>
  <c r="H31" i="20" s="1"/>
  <c r="AR47" i="17"/>
  <c r="F50" i="20"/>
  <c r="H50" i="20" s="1"/>
  <c r="AR20" i="17"/>
  <c r="F22" i="20"/>
  <c r="H22" i="20" s="1"/>
  <c r="F45" i="20"/>
  <c r="H45" i="20" s="1"/>
  <c r="AR31" i="17"/>
  <c r="F33" i="20"/>
  <c r="H33" i="20" s="1"/>
  <c r="F52" i="20"/>
  <c r="H52" i="20" s="1"/>
  <c r="J25" i="20"/>
  <c r="Q25" i="20"/>
  <c r="S25" i="20" s="1"/>
  <c r="J44" i="20"/>
  <c r="Q44" i="20"/>
  <c r="S44" i="20" s="1"/>
  <c r="Q35" i="20"/>
  <c r="S35" i="20" s="1"/>
  <c r="J35" i="20"/>
  <c r="AR25" i="17"/>
  <c r="F27" i="20"/>
  <c r="H27" i="20" s="1"/>
  <c r="AR27" i="17"/>
  <c r="F29" i="20"/>
  <c r="H29" i="20" s="1"/>
  <c r="AR28" i="17"/>
  <c r="F30" i="20"/>
  <c r="H30" i="20" s="1"/>
  <c r="AR49" i="17"/>
  <c r="F58" i="20"/>
  <c r="H58" i="20" s="1"/>
  <c r="AR22" i="17"/>
  <c r="F24" i="20"/>
  <c r="H24" i="20" s="1"/>
  <c r="Q26" i="20"/>
  <c r="S26" i="20" s="1"/>
  <c r="J26" i="20"/>
  <c r="H59" i="20" l="1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AR42" i="17"/>
  <c r="AS51" i="17" s="1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P2" i="17"/>
  <c r="AR19" i="17" l="1"/>
  <c r="AR51" i="17" s="1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K52" i="20" l="1"/>
  <c r="J21" i="20"/>
  <c r="Q21" i="20"/>
  <c r="S21" i="20" s="1"/>
  <c r="H18" i="20"/>
  <c r="H62" i="20"/>
  <c r="J18" i="20" l="1"/>
  <c r="Q18" i="20"/>
  <c r="S18" i="20" s="1"/>
  <c r="J62" i="20"/>
  <c r="K19" i="20"/>
  <c r="Q2" i="17" l="1"/>
  <c r="AT40" i="17" l="1"/>
  <c r="AT32" i="17"/>
  <c r="AT17" i="17"/>
  <c r="AS12" i="17" l="1"/>
  <c r="AR12" i="17" l="1"/>
  <c r="AT27" i="17"/>
  <c r="AT48" i="17"/>
  <c r="AT35" i="17"/>
  <c r="AT33" i="17"/>
  <c r="AT29" i="17"/>
  <c r="AT42" i="17"/>
  <c r="AT47" i="17"/>
  <c r="AT30" i="17"/>
  <c r="AT22" i="17"/>
  <c r="AT19" i="17"/>
  <c r="AT34" i="17"/>
  <c r="AT45" i="17"/>
  <c r="AT20" i="17"/>
  <c r="AT37" i="17"/>
  <c r="AT25" i="17"/>
  <c r="AT28" i="17"/>
  <c r="AT23" i="17"/>
  <c r="AT24" i="17"/>
  <c r="AT12" i="17" l="1"/>
  <c r="AT41" i="17" l="1"/>
  <c r="AT44" i="17"/>
  <c r="AT31" i="17" l="1"/>
  <c r="AS16" i="17"/>
  <c r="AT49" i="17"/>
  <c r="AR16" i="17"/>
  <c r="AT43" i="17" l="1"/>
  <c r="AT21" i="17"/>
  <c r="AT36" i="17"/>
  <c r="AT26" i="17"/>
  <c r="AT46" i="17"/>
  <c r="AT16" i="17"/>
  <c r="AK15" i="17" l="1"/>
  <c r="AB15" i="17"/>
  <c r="AU51" i="17"/>
  <c r="AT51" i="17"/>
  <c r="AS15" i="17"/>
  <c r="S15" i="17"/>
  <c r="AD15" i="17" s="1"/>
  <c r="AT15" i="17" l="1"/>
  <c r="AL15" i="17"/>
</calcChain>
</file>

<file path=xl/comments1.xml><?xml version="1.0" encoding="utf-8"?>
<comments xmlns="http://schemas.openxmlformats.org/spreadsheetml/2006/main">
  <authors>
    <author>Ing. Lenka Káňová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Pouze odhad!!!</t>
        </r>
      </text>
    </comment>
  </commentList>
</comments>
</file>

<file path=xl/sharedStrings.xml><?xml version="1.0" encoding="utf-8"?>
<sst xmlns="http://schemas.openxmlformats.org/spreadsheetml/2006/main" count="407" uniqueCount="184">
  <si>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</si>
  <si>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</si>
  <si>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</si>
  <si>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</si>
  <si>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</si>
  <si>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</si>
  <si>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</si>
  <si>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</si>
  <si>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</si>
  <si>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</si>
  <si>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</si>
  <si>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</si>
  <si>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</si>
  <si>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</si>
  <si>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</si>
  <si>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</si>
  <si>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</si>
  <si>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</si>
  <si>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</si>
  <si>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</si>
  <si>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</si>
  <si>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</si>
  <si>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</si>
  <si>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</si>
  <si>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</si>
  <si>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</si>
  <si>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</si>
  <si>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</si>
  <si>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</si>
  <si>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</si>
  <si>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</si>
  <si>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</si>
  <si>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</si>
  <si>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</si>
  <si>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</si>
  <si>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</si>
  <si>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</si>
  <si>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</si>
  <si>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</si>
  <si>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</si>
  <si>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</si>
  <si>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</si>
  <si>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</si>
  <si>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</si>
  <si>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</si>
  <si>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</si>
  <si>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</si>
  <si>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</si>
  <si>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</si>
  <si>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</si>
  <si>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</si>
  <si>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</si>
  <si>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</si>
  <si>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</si>
  <si>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</si>
  <si>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</si>
  <si>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</si>
  <si>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</si>
  <si>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</si>
  <si>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</si>
  <si>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</si>
  <si>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</si>
  <si>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</si>
  <si>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</si>
  <si>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</si>
  <si>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</si>
  <si>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</si>
  <si>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</si>
  <si>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</si>
  <si>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</si>
  <si>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</si>
  <si>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</si>
  <si>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</si>
  <si>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</si>
  <si>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</si>
  <si>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</si>
  <si>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</si>
  <si>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</si>
  <si>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</si>
  <si>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</si>
  <si>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</si>
  <si>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</si>
  <si>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</si>
  <si>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</si>
  <si>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</si>
  <si>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</si>
  <si>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</si>
  <si>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</si>
  <si>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</si>
  <si>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</si>
  <si>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</si>
  <si>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</si>
  <si>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</si>
  <si>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</si>
  <si>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</si>
  <si>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</si>
  <si>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</si>
  <si>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</si>
  <si>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</si>
  <si>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</si>
  <si>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</si>
  <si>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</si>
  <si>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</si>
  <si>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</si>
  <si>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</si>
  <si>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</si>
  <si>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</si>
  <si>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</si>
  <si>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</si>
  <si>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</si>
  <si>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</si>
  <si>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</si>
  <si>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</si>
  <si>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</si>
  <si>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</si>
  <si>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</si>
  <si>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</si>
  <si>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</si>
  <si>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</si>
  <si>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</si>
  <si>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</si>
  <si>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</si>
  <si>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</si>
  <si>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</si>
  <si>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</si>
  <si>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</si>
  <si>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</si>
  <si>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</si>
  <si>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</si>
  <si>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</si>
  <si>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</si>
  <si>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</si>
  <si>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</si>
  <si>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</si>
  <si>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</si>
  <si>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</si>
  <si>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</si>
  <si>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</si>
  <si>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</si>
  <si>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</si>
  <si>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</si>
  <si>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</si>
  <si>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</si>
  <si>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</si>
  <si>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</si>
  <si>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</si>
  <si>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</si>
  <si>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</si>
  <si>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</si>
  <si>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</si>
  <si>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</si>
  <si>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</si>
  <si>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</si>
  <si>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</si>
  <si>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</si>
  <si>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</si>
  <si>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</si>
  <si>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</si>
  <si>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</si>
  <si>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</si>
  <si>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</si>
  <si>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>Knihovna (Science, provoz, popularizace RUP)</t>
  </si>
  <si>
    <t>Přesuny</t>
  </si>
  <si>
    <t/>
  </si>
  <si>
    <t>M+I</t>
  </si>
  <si>
    <t>FPP HV</t>
  </si>
  <si>
    <t>Porovnání 2020 vs. 2018</t>
  </si>
  <si>
    <t>Rozdíl 2020 - 2018</t>
  </si>
  <si>
    <t>Internacionalizace</t>
  </si>
  <si>
    <t>P(/11)</t>
  </si>
  <si>
    <t>Porovnání 2021 vs. 2020</t>
  </si>
  <si>
    <t>Rozdíl 2021 - 2020</t>
  </si>
  <si>
    <t>Porovnání 2021 vs. 2019</t>
  </si>
  <si>
    <t>Rozdíl 2021 - 2019</t>
  </si>
  <si>
    <t>Dělení finančních prostředků PřF UP pro rok 2021, v tis. Kč</t>
  </si>
  <si>
    <t>Plán odpisů 2021</t>
  </si>
  <si>
    <t>Příjem 2021</t>
  </si>
  <si>
    <t>Příjem 2021 po odvodech</t>
  </si>
  <si>
    <t>Příspěvek 2021 po odvodech a přesunech</t>
  </si>
  <si>
    <t>Celkem příspěvek 2021</t>
  </si>
  <si>
    <t>KEB</t>
  </si>
  <si>
    <t>KCHB</t>
  </si>
  <si>
    <t>Transformační fond</t>
  </si>
  <si>
    <t>Počáteční stav 2021 po převodech (CATRIN)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</si>
</sst>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K_č_-;\-* #,##0.00\ _K_č_-;_-* &quot;-&quot;??\ _K_č_-;_-@_-"/>
    <numFmt numFmtId="165" formatCode="_-* #,##0.00\ _K_č_-;\-* #,##0.00\ _K_č_-;_-* \-??\ _K_č_-;_-@_-"/>
    <numFmt numFmtId="166" formatCode="_-* #,##0.00&quot; Kč&quot;_-;\-* #,##0.00&quot; Kč&quot;_-;_-* \-??&quot; Kč&quot;_-;_-@_-"/>
    <numFmt numFmtId="167" formatCode="0.0%"/>
    <numFmt numFmtId="168" formatCode="#,##0_ ;\-#,##0\ "/>
    <numFmt numFmtId="169" formatCode="#,##0.00000"/>
    <numFmt numFmtId="170" formatCode="#,##0.0000"/>
    <numFmt numFmtId="171" formatCode="0.000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rgb="FFFF0000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8E2D6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0" borderId="0"/>
    <xf numFmtId="165" fontId="2" fillId="0" borderId="0" applyFill="0" applyBorder="0" applyAlignment="0" applyProtection="0"/>
    <xf numFmtId="0" fontId="9" fillId="4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164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</cellStyleXfs>
  <cellXfs count="792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7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7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164" fontId="0" fillId="0" borderId="0" xfId="62" applyFont="1"/>
    <xf numFmtId="168" fontId="0" fillId="0" borderId="4" xfId="62" applyNumberFormat="1" applyFont="1" applyBorder="1"/>
    <xf numFmtId="168" fontId="0" fillId="3" borderId="2" xfId="62" applyNumberFormat="1" applyFont="1" applyFill="1" applyBorder="1"/>
    <xf numFmtId="168" fontId="0" fillId="0" borderId="65" xfId="62" applyNumberFormat="1" applyFont="1" applyBorder="1"/>
    <xf numFmtId="168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9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8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7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78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3" fontId="40" fillId="0" borderId="43" xfId="0" applyNumberFormat="1" applyFont="1" applyBorder="1"/>
    <xf numFmtId="3" fontId="40" fillId="0" borderId="37" xfId="0" applyNumberFormat="1" applyFont="1" applyBorder="1"/>
    <xf numFmtId="0" fontId="40" fillId="0" borderId="37" xfId="0" applyFont="1" applyBorder="1"/>
    <xf numFmtId="0" fontId="16" fillId="0" borderId="2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170" fontId="5" fillId="8" borderId="17" xfId="0" applyNumberFormat="1" applyFont="1" applyFill="1" applyBorder="1" applyAlignment="1">
      <alignment horizontal="center"/>
    </xf>
    <xf numFmtId="3" fontId="17" fillId="0" borderId="15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44" fillId="42" borderId="17" xfId="0" applyFont="1" applyFill="1" applyBorder="1" applyAlignment="1">
      <alignment horizontal="center" wrapText="1"/>
    </xf>
    <xf numFmtId="3" fontId="40" fillId="0" borderId="0" xfId="0" applyNumberFormat="1" applyFont="1" applyBorder="1"/>
    <xf numFmtId="3" fontId="42" fillId="0" borderId="54" xfId="0" applyNumberFormat="1" applyFont="1" applyFill="1" applyBorder="1"/>
    <xf numFmtId="0" fontId="0" fillId="0" borderId="37" xfId="0" applyBorder="1"/>
    <xf numFmtId="0" fontId="5" fillId="0" borderId="37" xfId="0" applyFont="1" applyBorder="1"/>
    <xf numFmtId="3" fontId="5" fillId="0" borderId="37" xfId="0" applyNumberFormat="1" applyFont="1" applyBorder="1"/>
    <xf numFmtId="10" fontId="40" fillId="0" borderId="37" xfId="0" applyNumberFormat="1" applyFont="1" applyBorder="1"/>
    <xf numFmtId="3" fontId="5" fillId="0" borderId="37" xfId="0" applyNumberFormat="1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3" fontId="42" fillId="0" borderId="37" xfId="0" applyNumberFormat="1" applyFont="1" applyFill="1" applyBorder="1"/>
    <xf numFmtId="10" fontId="40" fillId="0" borderId="37" xfId="0" applyNumberFormat="1" applyFont="1" applyFill="1" applyBorder="1" applyAlignment="1">
      <alignment horizontal="right"/>
    </xf>
    <xf numFmtId="3" fontId="40" fillId="8" borderId="37" xfId="0" applyNumberFormat="1" applyFont="1" applyFill="1" applyBorder="1"/>
    <xf numFmtId="3" fontId="40" fillId="2" borderId="37" xfId="0" applyNumberFormat="1" applyFont="1" applyFill="1" applyBorder="1"/>
    <xf numFmtId="3" fontId="5" fillId="8" borderId="37" xfId="0" applyNumberFormat="1" applyFont="1" applyFill="1" applyBorder="1"/>
    <xf numFmtId="171" fontId="44" fillId="42" borderId="17" xfId="0" applyNumberFormat="1" applyFont="1" applyFill="1" applyBorder="1" applyAlignment="1">
      <alignment horizontal="center" wrapText="1"/>
    </xf>
    <xf numFmtId="1" fontId="17" fillId="0" borderId="15" xfId="0" applyNumberFormat="1" applyFont="1" applyFill="1" applyBorder="1" applyAlignment="1">
      <alignment vertical="center"/>
    </xf>
    <xf numFmtId="3" fontId="40" fillId="0" borderId="69" xfId="0" applyNumberFormat="1" applyFont="1" applyFill="1" applyBorder="1"/>
    <xf numFmtId="0" fontId="5" fillId="0" borderId="15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center" vertical="center"/>
    </xf>
    <xf numFmtId="3" fontId="5" fillId="0" borderId="13" xfId="0" applyNumberFormat="1" applyFont="1" applyBorder="1"/>
    <xf numFmtId="3" fontId="5" fillId="0" borderId="0" xfId="0" applyNumberFormat="1" applyFont="1" applyBorder="1" applyAlignment="1">
      <alignment horizontal="left"/>
    </xf>
    <xf numFmtId="4" fontId="5" fillId="0" borderId="0" xfId="0" applyNumberFormat="1" applyFont="1" applyBorder="1"/>
    <xf numFmtId="3" fontId="5" fillId="2" borderId="37" xfId="0" applyNumberFormat="1" applyFont="1" applyFill="1" applyBorder="1"/>
    <xf numFmtId="3" fontId="5" fillId="3" borderId="37" xfId="0" applyNumberFormat="1" applyFont="1" applyFill="1" applyBorder="1"/>
    <xf numFmtId="3" fontId="6" fillId="0" borderId="44" xfId="0" applyNumberFormat="1" applyFont="1" applyFill="1" applyBorder="1" applyAlignment="1">
      <alignment horizontal="right"/>
    </xf>
    <xf numFmtId="1" fontId="0" fillId="0" borderId="44" xfId="0" applyNumberFormat="1" applyBorder="1"/>
    <xf numFmtId="1" fontId="0" fillId="0" borderId="31" xfId="0" applyNumberFormat="1" applyBorder="1"/>
    <xf numFmtId="1" fontId="0" fillId="0" borderId="43" xfId="0" applyNumberFormat="1" applyBorder="1"/>
    <xf numFmtId="0" fontId="0" fillId="0" borderId="25" xfId="0" applyFill="1" applyBorder="1" applyAlignment="1">
      <alignment horizontal="center"/>
    </xf>
    <xf numFmtId="0" fontId="44" fillId="0" borderId="31" xfId="0" applyFont="1" applyBorder="1" applyAlignment="1">
      <alignment horizontal="center" vertical="center" wrapText="1"/>
    </xf>
    <xf numFmtId="170" fontId="5" fillId="8" borderId="25" xfId="0" applyNumberFormat="1" applyFont="1" applyFill="1" applyBorder="1" applyAlignment="1">
      <alignment horizontal="center"/>
    </xf>
    <xf numFmtId="3" fontId="17" fillId="8" borderId="16" xfId="0" applyNumberFormat="1" applyFont="1" applyFill="1" applyBorder="1"/>
    <xf numFmtId="3" fontId="0" fillId="0" borderId="17" xfId="0" applyNumberFormat="1" applyFont="1" applyFill="1" applyBorder="1" applyAlignment="1">
      <alignment horizontal="center"/>
    </xf>
    <xf numFmtId="3" fontId="17" fillId="8" borderId="17" xfId="0" applyNumberFormat="1" applyFont="1" applyFill="1" applyBorder="1"/>
    <xf numFmtId="0" fontId="37" fillId="0" borderId="24" xfId="0" applyFont="1" applyBorder="1" applyAlignment="1">
      <alignment horizontal="center" wrapText="1"/>
    </xf>
    <xf numFmtId="10" fontId="5" fillId="8" borderId="31" xfId="0" applyNumberFormat="1" applyFont="1" applyFill="1" applyBorder="1"/>
    <xf numFmtId="0" fontId="16" fillId="0" borderId="17" xfId="0" applyFont="1" applyBorder="1" applyAlignment="1">
      <alignment horizontal="center" wrapText="1"/>
    </xf>
    <xf numFmtId="0" fontId="37" fillId="0" borderId="15" xfId="0" applyFont="1" applyBorder="1" applyAlignment="1">
      <alignment horizontal="center" wrapText="1"/>
    </xf>
    <xf numFmtId="10" fontId="5" fillId="8" borderId="15" xfId="0" applyNumberFormat="1" applyFont="1" applyFill="1" applyBorder="1"/>
    <xf numFmtId="0" fontId="44" fillId="42" borderId="15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44" fillId="0" borderId="15" xfId="0" applyFont="1" applyBorder="1" applyAlignment="1">
      <alignment horizontal="center" vertical="center" wrapText="1"/>
    </xf>
    <xf numFmtId="170" fontId="5" fillId="8" borderId="15" xfId="0" applyNumberFormat="1" applyFont="1" applyFill="1" applyBorder="1" applyAlignment="1">
      <alignment horizontal="center"/>
    </xf>
    <xf numFmtId="170" fontId="5" fillId="7" borderId="15" xfId="0" applyNumberFormat="1" applyFont="1" applyFill="1" applyBorder="1" applyAlignment="1">
      <alignment horizontal="center" vertical="center" wrapText="1"/>
    </xf>
    <xf numFmtId="3" fontId="5" fillId="7" borderId="15" xfId="0" applyNumberFormat="1" applyFont="1" applyFill="1" applyBorder="1" applyAlignment="1">
      <alignment horizontal="right"/>
    </xf>
    <xf numFmtId="0" fontId="0" fillId="0" borderId="28" xfId="0" applyBorder="1" applyAlignment="1">
      <alignment horizontal="center"/>
    </xf>
    <xf numFmtId="3" fontId="42" fillId="0" borderId="51" xfId="0" applyNumberFormat="1" applyFont="1" applyFill="1" applyBorder="1"/>
    <xf numFmtId="3" fontId="42" fillId="40" borderId="45" xfId="0" applyNumberFormat="1" applyFont="1" applyFill="1" applyBorder="1"/>
    <xf numFmtId="3" fontId="42" fillId="0" borderId="35" xfId="0" applyNumberFormat="1" applyFont="1" applyFill="1" applyBorder="1"/>
    <xf numFmtId="0" fontId="51" fillId="42" borderId="15" xfId="0" applyFont="1" applyFill="1" applyBorder="1" applyAlignment="1">
      <alignment horizontal="center" wrapText="1"/>
    </xf>
    <xf numFmtId="0" fontId="51" fillId="42" borderId="17" xfId="0" applyFont="1" applyFill="1" applyBorder="1" applyAlignment="1">
      <alignment horizontal="center" wrapText="1"/>
    </xf>
    <xf numFmtId="0" fontId="51" fillId="42" borderId="25" xfId="0" applyFont="1" applyFill="1" applyBorder="1" applyAlignment="1">
      <alignment horizontal="center" wrapText="1"/>
    </xf>
    <xf numFmtId="3" fontId="6" fillId="8" borderId="17" xfId="0" applyNumberFormat="1" applyFont="1" applyFill="1" applyBorder="1" applyAlignment="1">
      <alignment horizontal="center"/>
    </xf>
    <xf numFmtId="170" fontId="6" fillId="8" borderId="17" xfId="0" applyNumberFormat="1" applyFont="1" applyFill="1" applyBorder="1" applyAlignment="1">
      <alignment horizontal="center"/>
    </xf>
    <xf numFmtId="3" fontId="8" fillId="8" borderId="17" xfId="0" applyNumberFormat="1" applyFont="1" applyFill="1" applyBorder="1"/>
    <xf numFmtId="3" fontId="8" fillId="8" borderId="15" xfId="0" applyNumberFormat="1" applyFont="1" applyFill="1" applyBorder="1"/>
    <xf numFmtId="3" fontId="6" fillId="0" borderId="2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3" fontId="6" fillId="0" borderId="15" xfId="0" applyNumberFormat="1" applyFont="1" applyFill="1" applyBorder="1"/>
    <xf numFmtId="3" fontId="6" fillId="0" borderId="51" xfId="0" applyNumberFormat="1" applyFont="1" applyFill="1" applyBorder="1"/>
    <xf numFmtId="3" fontId="6" fillId="7" borderId="17" xfId="0" applyNumberFormat="1" applyFont="1" applyFill="1" applyBorder="1" applyAlignment="1">
      <alignment horizontal="right" vertical="center" wrapText="1"/>
    </xf>
    <xf numFmtId="170" fontId="20" fillId="7" borderId="17" xfId="0" applyNumberFormat="1" applyFont="1" applyFill="1" applyBorder="1" applyAlignment="1">
      <alignment horizontal="center" vertical="center" wrapText="1"/>
    </xf>
    <xf numFmtId="3" fontId="6" fillId="7" borderId="21" xfId="0" applyNumberFormat="1" applyFont="1" applyFill="1" applyBorder="1" applyAlignment="1">
      <alignment horizontal="right"/>
    </xf>
    <xf numFmtId="0" fontId="8" fillId="0" borderId="17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3" fontId="8" fillId="0" borderId="17" xfId="0" applyNumberFormat="1" applyFont="1" applyFill="1" applyBorder="1" applyAlignment="1">
      <alignment vertical="center"/>
    </xf>
    <xf numFmtId="1" fontId="8" fillId="0" borderId="15" xfId="0" applyNumberFormat="1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3" fontId="6" fillId="3" borderId="14" xfId="0" applyNumberFormat="1" applyFont="1" applyFill="1" applyBorder="1"/>
    <xf numFmtId="3" fontId="6" fillId="0" borderId="12" xfId="0" applyNumberFormat="1" applyFont="1" applyBorder="1"/>
    <xf numFmtId="3" fontId="6" fillId="0" borderId="13" xfId="0" applyNumberFormat="1" applyFont="1" applyBorder="1"/>
    <xf numFmtId="3" fontId="5" fillId="6" borderId="15" xfId="0" applyNumberFormat="1" applyFont="1" applyFill="1" applyBorder="1" applyAlignment="1">
      <alignment wrapText="1"/>
    </xf>
    <xf numFmtId="3" fontId="5" fillId="6" borderId="16" xfId="0" applyNumberFormat="1" applyFont="1" applyFill="1" applyBorder="1" applyAlignment="1">
      <alignment wrapText="1"/>
    </xf>
    <xf numFmtId="3" fontId="17" fillId="6" borderId="17" xfId="0" applyNumberFormat="1" applyFont="1" applyFill="1" applyBorder="1"/>
    <xf numFmtId="3" fontId="5" fillId="8" borderId="15" xfId="0" applyNumberFormat="1" applyFont="1" applyFill="1" applyBorder="1"/>
    <xf numFmtId="3" fontId="5" fillId="8" borderId="16" xfId="0" applyNumberFormat="1" applyFont="1" applyFill="1" applyBorder="1"/>
    <xf numFmtId="3" fontId="17" fillId="3" borderId="17" xfId="0" applyNumberFormat="1" applyFont="1" applyFill="1" applyBorder="1"/>
    <xf numFmtId="3" fontId="5" fillId="2" borderId="44" xfId="0" applyNumberFormat="1" applyFont="1" applyFill="1" applyBorder="1" applyAlignment="1">
      <alignment horizontal="right"/>
    </xf>
    <xf numFmtId="3" fontId="5" fillId="7" borderId="15" xfId="0" applyNumberFormat="1" applyFont="1" applyFill="1" applyBorder="1"/>
    <xf numFmtId="3" fontId="5" fillId="2" borderId="15" xfId="0" applyNumberFormat="1" applyFont="1" applyFill="1" applyBorder="1" applyAlignment="1">
      <alignment horizontal="right"/>
    </xf>
    <xf numFmtId="3" fontId="17" fillId="3" borderId="15" xfId="0" applyNumberFormat="1" applyFont="1" applyFill="1" applyBorder="1"/>
    <xf numFmtId="3" fontId="42" fillId="0" borderId="50" xfId="0" applyNumberFormat="1" applyFont="1" applyFill="1" applyBorder="1"/>
    <xf numFmtId="3" fontId="5" fillId="0" borderId="21" xfId="0" applyNumberFormat="1" applyFont="1" applyBorder="1"/>
    <xf numFmtId="3" fontId="5" fillId="0" borderId="46" xfId="0" applyNumberFormat="1" applyFont="1" applyBorder="1"/>
    <xf numFmtId="3" fontId="5" fillId="3" borderId="15" xfId="0" applyNumberFormat="1" applyFont="1" applyFill="1" applyBorder="1"/>
    <xf numFmtId="3" fontId="5" fillId="7" borderId="17" xfId="0" applyNumberFormat="1" applyFont="1" applyFill="1" applyBorder="1" applyAlignment="1">
      <alignment horizontal="right" vertical="center" wrapText="1"/>
    </xf>
    <xf numFmtId="1" fontId="17" fillId="0" borderId="16" xfId="0" applyNumberFormat="1" applyFont="1" applyFill="1" applyBorder="1" applyAlignment="1">
      <alignment vertical="center"/>
    </xf>
    <xf numFmtId="1" fontId="17" fillId="0" borderId="17" xfId="0" applyNumberFormat="1" applyFont="1" applyFill="1" applyBorder="1" applyAlignment="1">
      <alignment vertical="center"/>
    </xf>
    <xf numFmtId="1" fontId="40" fillId="0" borderId="0" xfId="0" applyNumberFormat="1" applyFont="1" applyBorder="1"/>
    <xf numFmtId="3" fontId="5" fillId="0" borderId="0" xfId="0" applyNumberFormat="1" applyFont="1" applyBorder="1"/>
    <xf numFmtId="0" fontId="40" fillId="0" borderId="0" xfId="0" applyFont="1" applyBorder="1"/>
    <xf numFmtId="3" fontId="5" fillId="0" borderId="8" xfId="0" applyNumberFormat="1" applyFont="1" applyBorder="1"/>
    <xf numFmtId="3" fontId="17" fillId="0" borderId="16" xfId="0" applyNumberFormat="1" applyFont="1" applyFill="1" applyBorder="1" applyAlignment="1">
      <alignment vertical="center"/>
    </xf>
    <xf numFmtId="0" fontId="0" fillId="42" borderId="34" xfId="0" applyFill="1" applyBorder="1"/>
    <xf numFmtId="0" fontId="3" fillId="42" borderId="45" xfId="1" applyFont="1" applyFill="1" applyBorder="1" applyAlignment="1">
      <alignment horizontal="center"/>
    </xf>
    <xf numFmtId="3" fontId="5" fillId="42" borderId="46" xfId="0" applyNumberFormat="1" applyFont="1" applyFill="1" applyBorder="1"/>
    <xf numFmtId="3" fontId="5" fillId="42" borderId="11" xfId="0" applyNumberFormat="1" applyFont="1" applyFill="1" applyBorder="1"/>
    <xf numFmtId="3" fontId="6" fillId="42" borderId="11" xfId="0" applyNumberFormat="1" applyFont="1" applyFill="1" applyBorder="1"/>
    <xf numFmtId="0" fontId="0" fillId="42" borderId="3" xfId="0" applyFill="1" applyBorder="1"/>
    <xf numFmtId="0" fontId="3" fillId="42" borderId="33" xfId="1" applyFont="1" applyFill="1" applyBorder="1" applyAlignment="1">
      <alignment horizontal="center"/>
    </xf>
    <xf numFmtId="3" fontId="5" fillId="42" borderId="9" xfId="0" applyNumberFormat="1" applyFont="1" applyFill="1" applyBorder="1"/>
    <xf numFmtId="3" fontId="5" fillId="42" borderId="12" xfId="0" applyNumberFormat="1" applyFont="1" applyFill="1" applyBorder="1"/>
    <xf numFmtId="3" fontId="6" fillId="42" borderId="12" xfId="0" applyNumberFormat="1" applyFont="1" applyFill="1" applyBorder="1"/>
    <xf numFmtId="0" fontId="0" fillId="42" borderId="20" xfId="0" applyFill="1" applyBorder="1"/>
    <xf numFmtId="0" fontId="3" fillId="42" borderId="35" xfId="1" applyFont="1" applyFill="1" applyBorder="1" applyAlignment="1">
      <alignment horizontal="center"/>
    </xf>
    <xf numFmtId="0" fontId="3" fillId="42" borderId="4" xfId="1" applyFont="1" applyFill="1" applyBorder="1" applyAlignment="1">
      <alignment horizontal="center"/>
    </xf>
    <xf numFmtId="0" fontId="1" fillId="42" borderId="50" xfId="0" applyFont="1" applyFill="1" applyBorder="1"/>
    <xf numFmtId="0" fontId="3" fillId="42" borderId="51" xfId="1" applyFont="1" applyFill="1" applyBorder="1" applyAlignment="1">
      <alignment horizontal="center"/>
    </xf>
    <xf numFmtId="3" fontId="5" fillId="42" borderId="44" xfId="0" applyNumberFormat="1" applyFont="1" applyFill="1" applyBorder="1" applyAlignment="1">
      <alignment horizontal="right"/>
    </xf>
    <xf numFmtId="3" fontId="5" fillId="42" borderId="23" xfId="0" applyNumberFormat="1" applyFont="1" applyFill="1" applyBorder="1"/>
    <xf numFmtId="3" fontId="6" fillId="42" borderId="23" xfId="0" applyNumberFormat="1" applyFont="1" applyFill="1" applyBorder="1"/>
    <xf numFmtId="3" fontId="5" fillId="0" borderId="43" xfId="0" applyNumberFormat="1" applyFont="1" applyBorder="1"/>
    <xf numFmtId="3" fontId="5" fillId="42" borderId="44" xfId="0" applyNumberFormat="1" applyFont="1" applyFill="1" applyBorder="1"/>
    <xf numFmtId="170" fontId="5" fillId="7" borderId="17" xfId="0" applyNumberFormat="1" applyFont="1" applyFill="1" applyBorder="1" applyAlignment="1">
      <alignment horizontal="center" vertical="center" wrapText="1"/>
    </xf>
    <xf numFmtId="170" fontId="5" fillId="7" borderId="25" xfId="0" applyNumberFormat="1" applyFont="1" applyFill="1" applyBorder="1" applyAlignment="1">
      <alignment horizontal="center" vertical="center" wrapText="1"/>
    </xf>
    <xf numFmtId="10" fontId="5" fillId="7" borderId="17" xfId="0" applyNumberFormat="1" applyFont="1" applyFill="1" applyBorder="1" applyAlignment="1">
      <alignment horizontal="right"/>
    </xf>
    <xf numFmtId="10" fontId="5" fillId="7" borderId="74" xfId="0" applyNumberFormat="1" applyFont="1" applyFill="1" applyBorder="1"/>
    <xf numFmtId="10" fontId="5" fillId="7" borderId="15" xfId="0" applyNumberFormat="1" applyFont="1" applyFill="1" applyBorder="1"/>
    <xf numFmtId="3" fontId="5" fillId="7" borderId="17" xfId="0" applyNumberFormat="1" applyFont="1" applyFill="1" applyBorder="1"/>
    <xf numFmtId="3" fontId="5" fillId="7" borderId="25" xfId="0" applyNumberFormat="1" applyFont="1" applyFill="1" applyBorder="1"/>
    <xf numFmtId="1" fontId="17" fillId="0" borderId="25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/>
    </xf>
    <xf numFmtId="3" fontId="17" fillId="0" borderId="17" xfId="0" applyNumberFormat="1" applyFont="1" applyBorder="1"/>
    <xf numFmtId="3" fontId="17" fillId="7" borderId="17" xfId="0" applyNumberFormat="1" applyFont="1" applyFill="1" applyBorder="1"/>
    <xf numFmtId="3" fontId="17" fillId="0" borderId="12" xfId="0" applyNumberFormat="1" applyFont="1" applyFill="1" applyBorder="1"/>
    <xf numFmtId="3" fontId="5" fillId="2" borderId="23" xfId="0" applyNumberFormat="1" applyFont="1" applyFill="1" applyBorder="1" applyAlignment="1">
      <alignment horizontal="right"/>
    </xf>
    <xf numFmtId="3" fontId="17" fillId="3" borderId="14" xfId="0" applyNumberFormat="1" applyFont="1" applyFill="1" applyBorder="1"/>
    <xf numFmtId="3" fontId="17" fillId="3" borderId="12" xfId="0" applyNumberFormat="1" applyFont="1" applyFill="1" applyBorder="1"/>
    <xf numFmtId="3" fontId="17" fillId="0" borderId="13" xfId="0" applyNumberFormat="1" applyFont="1" applyFill="1" applyBorder="1"/>
    <xf numFmtId="3" fontId="17" fillId="42" borderId="11" xfId="0" applyNumberFormat="1" applyFont="1" applyFill="1" applyBorder="1"/>
    <xf numFmtId="3" fontId="17" fillId="42" borderId="12" xfId="0" applyNumberFormat="1" applyFont="1" applyFill="1" applyBorder="1"/>
    <xf numFmtId="3" fontId="17" fillId="42" borderId="21" xfId="0" applyNumberFormat="1" applyFont="1" applyFill="1" applyBorder="1"/>
    <xf numFmtId="3" fontId="5" fillId="2" borderId="17" xfId="0" applyNumberFormat="1" applyFont="1" applyFill="1" applyBorder="1" applyAlignment="1">
      <alignment horizontal="right"/>
    </xf>
    <xf numFmtId="3" fontId="5" fillId="0" borderId="3" xfId="0" applyNumberFormat="1" applyFont="1" applyBorder="1"/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42" borderId="16" xfId="0" applyFont="1" applyFill="1" applyBorder="1" applyAlignment="1">
      <alignment horizontal="left" vertical="center"/>
    </xf>
    <xf numFmtId="0" fontId="1" fillId="42" borderId="17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70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3" xfId="7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F8E2D6"/>
      <color rgb="FFFFFF99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D110"/>
  <sheetViews>
    <sheetView tabSelected="1" zoomScale="70" zoomScaleNormal="70" workbookViewId="0">
      <pane xSplit="3" ySplit="6" topLeftCell="G20" activePane="bottomRight" state="frozen"/>
      <selection pane="topRight" activeCell="D1" sqref="D1"/>
      <selection pane="bottomLeft" activeCell="A7" sqref="A7"/>
      <selection pane="bottomRight" activeCell="O34" sqref="O34"/>
    </sheetView>
  </sheetViews>
  <sheetFormatPr defaultColWidth="9.28515625" defaultRowHeight="15" x14ac:dyDescent="0.25"/>
  <cols>
    <col min="1" max="1" width="2.28515625" style="30" customWidth="1"/>
    <col min="2" max="2" width="27.7109375" style="30" customWidth="1"/>
    <col min="3" max="3" width="13.42578125" style="30" customWidth="1"/>
    <col min="4" max="5" width="12.28515625" style="61" customWidth="1"/>
    <col min="6" max="6" width="17.28515625" style="61" customWidth="1"/>
    <col min="7" max="7" width="15.42578125" style="61" customWidth="1"/>
    <col min="8" max="8" width="14" style="60" customWidth="1"/>
    <col min="9" max="10" width="12.42578125" style="60" customWidth="1"/>
    <col min="11" max="11" width="14.42578125" style="60" customWidth="1"/>
    <col min="12" max="15" width="12.42578125" style="60" customWidth="1"/>
    <col min="16" max="16" width="17.7109375" style="7" customWidth="1"/>
    <col min="17" max="17" width="13" style="7" customWidth="1"/>
    <col min="18" max="18" width="13" style="530" customWidth="1"/>
    <col min="19" max="19" width="21.28515625" style="3" customWidth="1"/>
    <col min="20" max="31" width="8.7109375" style="5" customWidth="1"/>
    <col min="32" max="33" width="9.28515625" style="61" customWidth="1"/>
    <col min="34" max="34" width="9.28515625" style="400" customWidth="1"/>
    <col min="35" max="35" width="9.7109375" style="400" customWidth="1"/>
    <col min="36" max="36" width="9.28515625" style="61" customWidth="1"/>
    <col min="37" max="37" width="16.7109375" style="60" customWidth="1"/>
    <col min="38" max="38" width="10.28515625" style="61" customWidth="1"/>
    <col min="39" max="39" width="11.7109375" style="60" customWidth="1"/>
    <col min="40" max="41" width="9.28515625" customWidth="1"/>
    <col min="42" max="42" width="9.28515625" style="400" customWidth="1"/>
    <col min="43" max="43" width="9.7109375" style="400" customWidth="1"/>
    <col min="44" max="44" width="9.28515625" style="30" customWidth="1"/>
    <col min="45" max="45" width="16.7109375" style="60" customWidth="1"/>
    <col min="46" max="46" width="10.28515625" style="30" customWidth="1"/>
    <col min="47" max="47" width="11.7109375" style="60" customWidth="1"/>
    <col min="48" max="48" width="8.28515625" style="30" customWidth="1"/>
    <col min="49" max="49" width="13.5703125" style="30" customWidth="1"/>
    <col min="50" max="50" width="13.28515625" style="30" customWidth="1"/>
    <col min="51" max="16384" width="9.28515625" style="30"/>
  </cols>
  <sheetData>
    <row r="1" spans="2:47" ht="18.75" x14ac:dyDescent="0.3">
      <c r="B1" s="534" t="s">
        <v>125</v>
      </c>
      <c r="C1" s="3"/>
      <c r="P1" s="8"/>
      <c r="Q1" s="458"/>
      <c r="R1" s="458"/>
    </row>
    <row r="2" spans="2:47" ht="18.75" x14ac:dyDescent="0.3">
      <c r="B2" s="535" t="s">
        <v>174</v>
      </c>
      <c r="C2" s="3"/>
      <c r="P2" s="466">
        <f>P9/P7%</f>
        <v>18.537301344320088</v>
      </c>
      <c r="Q2" s="466">
        <f>Q9/Q7%</f>
        <v>18.537301344320092</v>
      </c>
      <c r="R2" s="466"/>
    </row>
    <row r="3" spans="2:47" ht="15.75" thickBot="1" x14ac:dyDescent="0.3"/>
    <row r="4" spans="2:47" ht="37.5" customHeight="1" thickBot="1" x14ac:dyDescent="0.3">
      <c r="B4" s="698" t="s">
        <v>62</v>
      </c>
      <c r="C4" s="699"/>
      <c r="D4" s="702" t="s">
        <v>183</v>
      </c>
      <c r="E4" s="703"/>
      <c r="F4" s="704"/>
      <c r="G4" s="565" t="s">
        <v>175</v>
      </c>
      <c r="H4" s="707" t="s">
        <v>176</v>
      </c>
      <c r="I4" s="708"/>
      <c r="J4" s="709"/>
      <c r="K4" s="707" t="s">
        <v>177</v>
      </c>
      <c r="L4" s="708"/>
      <c r="M4" s="710"/>
      <c r="N4" s="707" t="s">
        <v>162</v>
      </c>
      <c r="O4" s="709"/>
      <c r="P4" s="711" t="s">
        <v>178</v>
      </c>
      <c r="Q4" s="712"/>
      <c r="R4" s="713"/>
      <c r="S4" s="545" t="s">
        <v>179</v>
      </c>
      <c r="T4" s="396"/>
      <c r="U4" s="396"/>
      <c r="V4" s="714" t="s">
        <v>170</v>
      </c>
      <c r="W4" s="715"/>
      <c r="X4" s="715"/>
      <c r="Y4" s="715"/>
      <c r="Z4" s="716"/>
      <c r="AA4" s="61" t="s">
        <v>171</v>
      </c>
      <c r="AB4" s="60"/>
      <c r="AC4" s="60"/>
      <c r="AD4" s="61"/>
      <c r="AE4" s="60"/>
      <c r="AF4" s="714" t="s">
        <v>172</v>
      </c>
      <c r="AG4" s="715"/>
      <c r="AH4" s="715"/>
      <c r="AI4" s="716"/>
      <c r="AJ4" s="61" t="s">
        <v>173</v>
      </c>
      <c r="AN4" s="714" t="s">
        <v>166</v>
      </c>
      <c r="AO4" s="715"/>
      <c r="AP4" s="715"/>
      <c r="AQ4" s="716"/>
      <c r="AR4" s="30" t="s">
        <v>167</v>
      </c>
    </row>
    <row r="5" spans="2:47" ht="16.5" customHeight="1" thickBot="1" x14ac:dyDescent="0.3">
      <c r="B5" s="700"/>
      <c r="C5" s="701"/>
      <c r="D5" s="564" t="s">
        <v>28</v>
      </c>
      <c r="E5" s="564" t="s">
        <v>165</v>
      </c>
      <c r="F5" s="564" t="s">
        <v>27</v>
      </c>
      <c r="G5" s="564" t="s">
        <v>27</v>
      </c>
      <c r="H5" s="55" t="s">
        <v>84</v>
      </c>
      <c r="I5" s="452" t="s">
        <v>105</v>
      </c>
      <c r="J5" s="452" t="s">
        <v>169</v>
      </c>
      <c r="K5" s="55" t="s">
        <v>84</v>
      </c>
      <c r="L5" s="575" t="s">
        <v>105</v>
      </c>
      <c r="M5" s="587" t="s">
        <v>169</v>
      </c>
      <c r="N5" s="579" t="s">
        <v>84</v>
      </c>
      <c r="O5" s="452" t="s">
        <v>105</v>
      </c>
      <c r="P5" s="55" t="s">
        <v>84</v>
      </c>
      <c r="Q5" s="452" t="s">
        <v>105</v>
      </c>
      <c r="R5" s="587" t="s">
        <v>169</v>
      </c>
      <c r="S5" s="546"/>
      <c r="T5" s="392"/>
      <c r="U5" s="392"/>
      <c r="V5" s="440" t="s">
        <v>49</v>
      </c>
      <c r="W5" s="428" t="s">
        <v>50</v>
      </c>
      <c r="X5" s="592" t="s">
        <v>169</v>
      </c>
      <c r="Y5" s="717" t="s">
        <v>132</v>
      </c>
      <c r="Z5" s="718"/>
      <c r="AA5" s="440" t="s">
        <v>49</v>
      </c>
      <c r="AB5" s="428" t="s">
        <v>50</v>
      </c>
      <c r="AC5" s="592" t="s">
        <v>169</v>
      </c>
      <c r="AD5" s="717" t="s">
        <v>132</v>
      </c>
      <c r="AE5" s="718"/>
      <c r="AF5" s="440" t="s">
        <v>49</v>
      </c>
      <c r="AG5" s="428" t="s">
        <v>50</v>
      </c>
      <c r="AH5" s="717" t="s">
        <v>132</v>
      </c>
      <c r="AI5" s="718"/>
      <c r="AJ5" s="440" t="s">
        <v>49</v>
      </c>
      <c r="AK5" s="428" t="s">
        <v>50</v>
      </c>
      <c r="AL5" s="717" t="s">
        <v>132</v>
      </c>
      <c r="AM5" s="718"/>
      <c r="AN5" s="440" t="s">
        <v>49</v>
      </c>
      <c r="AO5" s="428" t="s">
        <v>50</v>
      </c>
      <c r="AP5" s="717" t="s">
        <v>132</v>
      </c>
      <c r="AQ5" s="718"/>
      <c r="AR5" s="440" t="s">
        <v>49</v>
      </c>
      <c r="AS5" s="428" t="s">
        <v>50</v>
      </c>
      <c r="AT5" s="717" t="s">
        <v>132</v>
      </c>
      <c r="AU5" s="718"/>
    </row>
    <row r="6" spans="2:47" ht="69.75" customHeight="1" thickBot="1" x14ac:dyDescent="0.3">
      <c r="B6" s="541"/>
      <c r="C6" s="542"/>
      <c r="D6" s="454"/>
      <c r="E6" s="539"/>
      <c r="F6" s="539"/>
      <c r="G6" s="539"/>
      <c r="H6" s="468"/>
      <c r="I6" s="468"/>
      <c r="J6" s="468"/>
      <c r="K6" s="468"/>
      <c r="L6" s="576"/>
      <c r="M6" s="588"/>
      <c r="N6" s="468"/>
      <c r="O6" s="468"/>
      <c r="P6" s="540"/>
      <c r="Q6" s="581"/>
      <c r="R6" s="584"/>
      <c r="S6" s="583"/>
      <c r="T6" s="392"/>
      <c r="U6" s="392"/>
      <c r="V6" s="441"/>
      <c r="W6" s="509"/>
      <c r="X6" s="509"/>
      <c r="Y6" s="538"/>
      <c r="Z6" s="538"/>
      <c r="AA6" s="550"/>
      <c r="AB6" s="551"/>
      <c r="AC6" s="551"/>
      <c r="AD6" s="550"/>
      <c r="AE6" s="551"/>
      <c r="AF6" s="441"/>
      <c r="AG6" s="509"/>
      <c r="AH6" s="538"/>
      <c r="AI6" s="538"/>
      <c r="AJ6" s="550"/>
      <c r="AK6" s="551"/>
      <c r="AL6" s="550"/>
      <c r="AM6" s="551"/>
      <c r="AN6" s="550"/>
      <c r="AO6" s="550"/>
      <c r="AP6" s="538"/>
      <c r="AQ6" s="538"/>
      <c r="AR6" s="550"/>
      <c r="AS6" s="551"/>
      <c r="AT6" s="550"/>
      <c r="AU6" s="551"/>
    </row>
    <row r="7" spans="2:47" ht="18.75" customHeight="1" thickBot="1" x14ac:dyDescent="0.3">
      <c r="B7" s="688" t="s">
        <v>88</v>
      </c>
      <c r="C7" s="689"/>
      <c r="D7" s="596"/>
      <c r="E7" s="597"/>
      <c r="F7" s="597"/>
      <c r="G7" s="597"/>
      <c r="H7" s="561">
        <v>320000</v>
      </c>
      <c r="I7" s="547">
        <v>344604.93900000001</v>
      </c>
      <c r="J7" s="547">
        <v>6011.6170000000002</v>
      </c>
      <c r="K7" s="597"/>
      <c r="L7" s="598"/>
      <c r="M7" s="596"/>
      <c r="N7" s="597"/>
      <c r="O7" s="597"/>
      <c r="P7" s="622">
        <f>H7-K9</f>
        <v>269957.21715520002</v>
      </c>
      <c r="Q7" s="623">
        <f>I7-L9</f>
        <v>290714.34484492952</v>
      </c>
      <c r="R7" s="586">
        <f>J7</f>
        <v>6011.6170000000002</v>
      </c>
      <c r="S7" s="624">
        <f>P7+Q7+R7</f>
        <v>566683.17900012957</v>
      </c>
      <c r="T7" s="394"/>
      <c r="U7" s="394"/>
      <c r="V7" s="572">
        <v>345337.63818576746</v>
      </c>
      <c r="W7" s="573">
        <v>284886.20404009079</v>
      </c>
      <c r="X7" s="510">
        <v>132.79596000000001</v>
      </c>
      <c r="Y7" s="537">
        <v>630356.63818585826</v>
      </c>
      <c r="Z7" s="538"/>
      <c r="AA7" s="552">
        <f>P7-V7</f>
        <v>-75380.421030567435</v>
      </c>
      <c r="AB7" s="552">
        <f>Q7-W7</f>
        <v>5828.1408048387384</v>
      </c>
      <c r="AC7" s="552">
        <f>R7-X7</f>
        <v>5878.8210399999998</v>
      </c>
      <c r="AD7" s="552">
        <f>S7-Y7</f>
        <v>-63673.459185728687</v>
      </c>
      <c r="AE7" s="394"/>
      <c r="AF7" s="572">
        <v>282848.82794264075</v>
      </c>
      <c r="AG7" s="573">
        <v>264667.9312056218</v>
      </c>
      <c r="AH7" s="537">
        <v>547516.75914826256</v>
      </c>
      <c r="AI7" s="538"/>
      <c r="AJ7" s="552">
        <f>P7-AF7</f>
        <v>-12891.610787440732</v>
      </c>
      <c r="AK7" s="552">
        <f>Q7-AG7</f>
        <v>26046.413639307721</v>
      </c>
      <c r="AL7" s="552">
        <f>S7-AH7</f>
        <v>19166.419851867016</v>
      </c>
      <c r="AM7" s="551"/>
      <c r="AN7" s="442">
        <v>276461.78899999999</v>
      </c>
      <c r="AO7" s="517">
        <v>242567.52500000002</v>
      </c>
      <c r="AP7" s="537">
        <f>AN7+AO7</f>
        <v>519029.31400000001</v>
      </c>
      <c r="AQ7" s="538"/>
      <c r="AR7" s="552">
        <f>P7-AN7</f>
        <v>-6504.5718447999679</v>
      </c>
      <c r="AS7" s="552">
        <f>Q7-AO7</f>
        <v>48146.819844929501</v>
      </c>
      <c r="AT7" s="552">
        <f>S7-AP7</f>
        <v>47653.865000129561</v>
      </c>
      <c r="AU7" s="551"/>
    </row>
    <row r="8" spans="2:47" ht="15.75" thickBot="1" x14ac:dyDescent="0.3">
      <c r="B8" s="43" t="s">
        <v>103</v>
      </c>
      <c r="C8" s="353"/>
      <c r="D8" s="599"/>
      <c r="E8" s="599"/>
      <c r="F8" s="599"/>
      <c r="G8" s="599"/>
      <c r="H8" s="600"/>
      <c r="I8" s="600"/>
      <c r="J8" s="600"/>
      <c r="K8" s="543">
        <v>0.15638369638999999</v>
      </c>
      <c r="L8" s="577">
        <f>K8</f>
        <v>0.15638369638999999</v>
      </c>
      <c r="M8" s="589">
        <v>0</v>
      </c>
      <c r="N8" s="600"/>
      <c r="O8" s="600"/>
      <c r="P8" s="585"/>
      <c r="Q8" s="582"/>
      <c r="R8" s="585"/>
      <c r="S8" s="580"/>
      <c r="T8" s="394"/>
      <c r="U8" s="394"/>
      <c r="V8" s="441"/>
      <c r="W8" s="509"/>
      <c r="X8" s="509"/>
      <c r="Y8" s="537"/>
      <c r="Z8" s="538"/>
      <c r="AA8" s="552"/>
      <c r="AB8" s="552"/>
      <c r="AC8" s="552"/>
      <c r="AD8" s="552"/>
      <c r="AE8" s="394"/>
      <c r="AF8" s="441"/>
      <c r="AG8" s="509"/>
      <c r="AH8" s="537"/>
      <c r="AI8" s="538"/>
      <c r="AJ8" s="552"/>
      <c r="AK8" s="552"/>
      <c r="AL8" s="552"/>
      <c r="AM8" s="552"/>
      <c r="AN8" s="441"/>
      <c r="AO8" s="509"/>
      <c r="AP8" s="537"/>
      <c r="AQ8" s="538"/>
      <c r="AR8" s="552"/>
      <c r="AS8" s="552"/>
      <c r="AT8" s="552"/>
      <c r="AU8" s="552"/>
    </row>
    <row r="9" spans="2:47" ht="15.75" thickBot="1" x14ac:dyDescent="0.3">
      <c r="B9" s="696"/>
      <c r="C9" s="697"/>
      <c r="D9" s="602"/>
      <c r="E9" s="602"/>
      <c r="F9" s="602"/>
      <c r="G9" s="602"/>
      <c r="H9" s="602"/>
      <c r="I9" s="602"/>
      <c r="J9" s="602"/>
      <c r="K9" s="471">
        <f>H7*K8</f>
        <v>50042.7828448</v>
      </c>
      <c r="L9" s="578">
        <f>I7*L8</f>
        <v>53890.594155070467</v>
      </c>
      <c r="M9" s="471">
        <f>J7*M8</f>
        <v>0</v>
      </c>
      <c r="N9" s="601"/>
      <c r="O9" s="602"/>
      <c r="P9" s="625">
        <f>K9</f>
        <v>50042.7828448</v>
      </c>
      <c r="Q9" s="626">
        <f>L9</f>
        <v>53890.594155070467</v>
      </c>
      <c r="R9" s="625">
        <f>M9</f>
        <v>0</v>
      </c>
      <c r="S9" s="627">
        <f>P9+Q9+R9</f>
        <v>103933.37699987047</v>
      </c>
      <c r="T9" s="397"/>
      <c r="U9" s="397"/>
      <c r="V9" s="536">
        <v>61717.711814232498</v>
      </c>
      <c r="W9" s="548">
        <v>50914.011959909207</v>
      </c>
      <c r="X9" s="548">
        <v>0</v>
      </c>
      <c r="Y9" s="537">
        <v>112631.7237741417</v>
      </c>
      <c r="Z9" s="553"/>
      <c r="AA9" s="552">
        <f>P9-V9</f>
        <v>-11674.928969432498</v>
      </c>
      <c r="AB9" s="552">
        <f>Q9-W9</f>
        <v>2976.5821951612597</v>
      </c>
      <c r="AC9" s="552">
        <f>R9-X9</f>
        <v>0</v>
      </c>
      <c r="AD9" s="552">
        <f>S9-Y9</f>
        <v>-8698.3467742712382</v>
      </c>
      <c r="AE9" s="397"/>
      <c r="AF9" s="536">
        <v>55948.072057359299</v>
      </c>
      <c r="AG9" s="548">
        <v>52351.853794378141</v>
      </c>
      <c r="AH9" s="537">
        <v>108299.92585173744</v>
      </c>
      <c r="AI9" s="553"/>
      <c r="AJ9" s="552">
        <f>P9-AF9</f>
        <v>-5905.2892125592989</v>
      </c>
      <c r="AK9" s="552">
        <f>Q9-AG9</f>
        <v>1538.7403606923253</v>
      </c>
      <c r="AL9" s="552">
        <f>S9-AH9</f>
        <v>-4366.5488518669736</v>
      </c>
      <c r="AM9" s="554"/>
      <c r="AN9" s="536">
        <v>55647.784</v>
      </c>
      <c r="AO9" s="548">
        <v>49026.750999999997</v>
      </c>
      <c r="AP9" s="537">
        <v>104674.535</v>
      </c>
      <c r="AQ9" s="553"/>
      <c r="AR9" s="552">
        <f>P9-AN9</f>
        <v>-5605.0011551999996</v>
      </c>
      <c r="AS9" s="552">
        <f>Q9-AO9</f>
        <v>4863.8431550704699</v>
      </c>
      <c r="AT9" s="552">
        <f>S9-AP9</f>
        <v>-741.15800012953696</v>
      </c>
      <c r="AU9" s="554"/>
    </row>
    <row r="10" spans="2:47" ht="15.75" thickBot="1" x14ac:dyDescent="0.3">
      <c r="B10" s="690"/>
      <c r="C10" s="691"/>
      <c r="D10" s="603"/>
      <c r="E10" s="603"/>
      <c r="F10" s="603"/>
      <c r="G10" s="603"/>
      <c r="H10" s="604"/>
      <c r="I10" s="604"/>
      <c r="J10" s="604"/>
      <c r="K10" s="604"/>
      <c r="L10" s="605"/>
      <c r="M10" s="604"/>
      <c r="N10" s="606"/>
      <c r="O10" s="604"/>
      <c r="P10" s="607"/>
      <c r="Q10" s="608"/>
      <c r="R10" s="607"/>
      <c r="S10" s="674"/>
      <c r="T10" s="392"/>
      <c r="U10" s="392"/>
      <c r="V10" s="442"/>
      <c r="W10" s="517"/>
      <c r="X10" s="509"/>
      <c r="Y10" s="537"/>
      <c r="Z10" s="538"/>
      <c r="AA10" s="552"/>
      <c r="AB10" s="552"/>
      <c r="AC10" s="552"/>
      <c r="AD10" s="552"/>
      <c r="AE10" s="392"/>
      <c r="AF10" s="442"/>
      <c r="AG10" s="517"/>
      <c r="AH10" s="537"/>
      <c r="AI10" s="538"/>
      <c r="AJ10" s="552"/>
      <c r="AK10" s="552"/>
      <c r="AL10" s="552"/>
      <c r="AM10" s="555"/>
      <c r="AN10" s="442"/>
      <c r="AO10" s="517"/>
      <c r="AP10" s="537"/>
      <c r="AQ10" s="538"/>
      <c r="AR10" s="552"/>
      <c r="AS10" s="552"/>
      <c r="AT10" s="552"/>
      <c r="AU10" s="555"/>
    </row>
    <row r="11" spans="2:47" ht="15.75" thickBot="1" x14ac:dyDescent="0.3">
      <c r="B11" s="692" t="s">
        <v>135</v>
      </c>
      <c r="C11" s="693"/>
      <c r="D11" s="636">
        <v>39725</v>
      </c>
      <c r="E11" s="636">
        <v>13232</v>
      </c>
      <c r="F11" s="636">
        <v>-1152</v>
      </c>
      <c r="G11" s="609"/>
      <c r="H11" s="610"/>
      <c r="I11" s="610"/>
      <c r="J11" s="610"/>
      <c r="K11" s="664">
        <v>0.1656</v>
      </c>
      <c r="L11" s="665">
        <f>K11</f>
        <v>0.1656</v>
      </c>
      <c r="M11" s="590">
        <v>0</v>
      </c>
      <c r="N11" s="610"/>
      <c r="O11" s="610"/>
      <c r="P11" s="666"/>
      <c r="Q11" s="667"/>
      <c r="R11" s="668"/>
      <c r="S11" s="675"/>
      <c r="T11" s="392"/>
      <c r="U11" s="392"/>
      <c r="V11" s="441"/>
      <c r="W11" s="509"/>
      <c r="X11" s="509"/>
      <c r="Y11" s="537"/>
      <c r="Z11" s="538"/>
      <c r="AA11" s="552"/>
      <c r="AB11" s="552"/>
      <c r="AC11" s="552"/>
      <c r="AD11" s="552"/>
      <c r="AE11" s="392"/>
      <c r="AF11" s="441"/>
      <c r="AG11" s="509"/>
      <c r="AH11" s="537"/>
      <c r="AI11" s="538"/>
      <c r="AJ11" s="552"/>
      <c r="AK11" s="552"/>
      <c r="AL11" s="552"/>
      <c r="AM11" s="555"/>
      <c r="AN11" s="441"/>
      <c r="AO11" s="509"/>
      <c r="AP11" s="537"/>
      <c r="AQ11" s="538"/>
      <c r="AR11" s="552"/>
      <c r="AS11" s="552"/>
      <c r="AT11" s="552"/>
      <c r="AU11" s="555"/>
    </row>
    <row r="12" spans="2:47" ht="15.75" thickBot="1" x14ac:dyDescent="0.3">
      <c r="B12" s="694"/>
      <c r="C12" s="695"/>
      <c r="D12" s="611"/>
      <c r="E12" s="611"/>
      <c r="F12" s="611"/>
      <c r="G12" s="611"/>
      <c r="H12" s="611"/>
      <c r="I12" s="611"/>
      <c r="J12" s="611"/>
      <c r="K12" s="385">
        <f>H7*K11</f>
        <v>52992</v>
      </c>
      <c r="L12" s="385">
        <f>I7*L11</f>
        <v>57066.577898399999</v>
      </c>
      <c r="M12" s="591">
        <f>J7*M11</f>
        <v>0</v>
      </c>
      <c r="N12" s="611"/>
      <c r="O12" s="611"/>
      <c r="P12" s="669">
        <f>K12+N12</f>
        <v>52992</v>
      </c>
      <c r="Q12" s="670">
        <f>L12+O12</f>
        <v>57066.577898399999</v>
      </c>
      <c r="R12" s="629">
        <f>M12</f>
        <v>0</v>
      </c>
      <c r="S12" s="675">
        <f>P12+Q12+R12</f>
        <v>110058.57789839999</v>
      </c>
      <c r="T12" s="395"/>
      <c r="U12" s="395"/>
      <c r="V12" s="410">
        <v>78765.210225000003</v>
      </c>
      <c r="W12" s="410">
        <v>64771.973280000006</v>
      </c>
      <c r="X12" s="548">
        <v>0</v>
      </c>
      <c r="Y12" s="537">
        <v>143537.18350500002</v>
      </c>
      <c r="Z12" s="553"/>
      <c r="AA12" s="552">
        <f t="shared" ref="AA12:AD15" si="0">P12-V12</f>
        <v>-25773.210225000003</v>
      </c>
      <c r="AB12" s="552">
        <f t="shared" si="0"/>
        <v>-7705.3953816000067</v>
      </c>
      <c r="AC12" s="552">
        <f t="shared" si="0"/>
        <v>0</v>
      </c>
      <c r="AD12" s="552">
        <f t="shared" si="0"/>
        <v>-33478.605606600031</v>
      </c>
      <c r="AE12" s="395"/>
      <c r="AF12" s="410">
        <v>60983.442000000003</v>
      </c>
      <c r="AG12" s="410">
        <v>57063.561299999994</v>
      </c>
      <c r="AH12" s="537">
        <v>118047.0033</v>
      </c>
      <c r="AI12" s="553"/>
      <c r="AJ12" s="552">
        <f t="shared" ref="AJ12:AK15" si="1">P12-AF12</f>
        <v>-7991.4420000000027</v>
      </c>
      <c r="AK12" s="552">
        <f t="shared" si="1"/>
        <v>3.016598400005023</v>
      </c>
      <c r="AL12" s="552">
        <f>S12-AH12</f>
        <v>-7988.425401600005</v>
      </c>
      <c r="AM12" s="550"/>
      <c r="AN12" s="410">
        <v>44085.087899999991</v>
      </c>
      <c r="AO12" s="410">
        <v>50115.302840000011</v>
      </c>
      <c r="AP12" s="537">
        <v>95144.274109999998</v>
      </c>
      <c r="AQ12" s="553"/>
      <c r="AR12" s="552">
        <f t="shared" ref="AR12:AS15" si="2">P12-AN12</f>
        <v>8906.9121000000086</v>
      </c>
      <c r="AS12" s="552">
        <f t="shared" si="2"/>
        <v>6951.2750583999878</v>
      </c>
      <c r="AT12" s="552">
        <f>S12-AP12</f>
        <v>14914.303788399993</v>
      </c>
      <c r="AU12" s="550"/>
    </row>
    <row r="13" spans="2:47" ht="15.75" thickBot="1" x14ac:dyDescent="0.3">
      <c r="B13" s="705" t="s">
        <v>104</v>
      </c>
      <c r="C13" s="706"/>
      <c r="D13" s="612"/>
      <c r="E13" s="613"/>
      <c r="F13" s="613"/>
      <c r="G13" s="613"/>
      <c r="H13" s="613"/>
      <c r="I13" s="613"/>
      <c r="J13" s="613"/>
      <c r="K13" s="544">
        <f>K9+K12</f>
        <v>103034.78284480001</v>
      </c>
      <c r="L13" s="643">
        <f>L9+L12</f>
        <v>110957.17205347047</v>
      </c>
      <c r="M13" s="544">
        <f>M9+M12</f>
        <v>0</v>
      </c>
      <c r="N13" s="614"/>
      <c r="O13" s="614"/>
      <c r="P13" s="638">
        <f>K13</f>
        <v>103034.78284480001</v>
      </c>
      <c r="Q13" s="671">
        <f>L13</f>
        <v>110957.17205347047</v>
      </c>
      <c r="R13" s="562">
        <f>M13</f>
        <v>0</v>
      </c>
      <c r="S13" s="638">
        <f>P13+Q13+R13</f>
        <v>213991.95489827049</v>
      </c>
      <c r="T13" s="391"/>
      <c r="U13" s="391"/>
      <c r="V13" s="574">
        <v>140482.92203923251</v>
      </c>
      <c r="W13" s="510">
        <v>115685.98523990921</v>
      </c>
      <c r="X13" s="510">
        <v>0</v>
      </c>
      <c r="Y13" s="537">
        <v>256168.90727914171</v>
      </c>
      <c r="Z13" s="557"/>
      <c r="AA13" s="552">
        <f t="shared" si="0"/>
        <v>-37448.139194432501</v>
      </c>
      <c r="AB13" s="552">
        <f t="shared" si="0"/>
        <v>-4728.8131864387396</v>
      </c>
      <c r="AC13" s="552">
        <f t="shared" si="0"/>
        <v>0</v>
      </c>
      <c r="AD13" s="552">
        <f t="shared" si="0"/>
        <v>-42176.952380871226</v>
      </c>
      <c r="AE13" s="391"/>
      <c r="AF13" s="574">
        <v>116931.51405735931</v>
      </c>
      <c r="AG13" s="510">
        <v>109415.41509437814</v>
      </c>
      <c r="AH13" s="537">
        <v>226346.92915173745</v>
      </c>
      <c r="AI13" s="557"/>
      <c r="AJ13" s="552">
        <f t="shared" si="1"/>
        <v>-13896.731212559302</v>
      </c>
      <c r="AK13" s="552">
        <f t="shared" si="1"/>
        <v>1541.7569590923231</v>
      </c>
      <c r="AL13" s="552">
        <f>S13-AH13</f>
        <v>-12354.974253466964</v>
      </c>
      <c r="AM13" s="550"/>
      <c r="AN13" s="441"/>
      <c r="AO13" s="509"/>
      <c r="AP13" s="537"/>
      <c r="AQ13" s="557"/>
      <c r="AR13" s="552">
        <f t="shared" si="2"/>
        <v>103034.78284480001</v>
      </c>
      <c r="AS13" s="552">
        <f t="shared" si="2"/>
        <v>110957.17205347047</v>
      </c>
      <c r="AT13" s="552">
        <f>S13-AP13</f>
        <v>213991.95489827049</v>
      </c>
      <c r="AU13" s="550"/>
    </row>
    <row r="14" spans="2:47" s="61" customFormat="1" ht="15.75" thickBot="1" x14ac:dyDescent="0.3">
      <c r="B14" s="51" t="s">
        <v>161</v>
      </c>
      <c r="C14" s="354"/>
      <c r="D14" s="616"/>
      <c r="E14" s="616"/>
      <c r="F14" s="616"/>
      <c r="G14" s="616"/>
      <c r="H14" s="475"/>
      <c r="I14" s="613"/>
      <c r="J14" s="613"/>
      <c r="K14" s="475">
        <v>350</v>
      </c>
      <c r="L14" s="617"/>
      <c r="M14" s="475"/>
      <c r="N14" s="612"/>
      <c r="O14" s="613"/>
      <c r="P14" s="475">
        <v>350</v>
      </c>
      <c r="Q14" s="474"/>
      <c r="R14" s="672"/>
      <c r="S14" s="676"/>
      <c r="T14" s="392"/>
      <c r="U14" s="392"/>
      <c r="V14" s="401">
        <v>250</v>
      </c>
      <c r="W14" s="509"/>
      <c r="X14" s="509"/>
      <c r="Y14" s="537"/>
      <c r="Z14" s="538"/>
      <c r="AA14" s="552">
        <f t="shared" si="0"/>
        <v>100</v>
      </c>
      <c r="AB14" s="552">
        <f t="shared" si="0"/>
        <v>0</v>
      </c>
      <c r="AC14" s="552">
        <f t="shared" si="0"/>
        <v>0</v>
      </c>
      <c r="AD14" s="552">
        <f t="shared" si="0"/>
        <v>0</v>
      </c>
      <c r="AE14" s="392"/>
      <c r="AF14" s="401">
        <v>250</v>
      </c>
      <c r="AG14" s="509"/>
      <c r="AH14" s="537"/>
      <c r="AI14" s="538"/>
      <c r="AJ14" s="552">
        <f t="shared" si="1"/>
        <v>100</v>
      </c>
      <c r="AK14" s="552">
        <f t="shared" si="1"/>
        <v>0</v>
      </c>
      <c r="AL14" s="552">
        <f>S14-AH14</f>
        <v>0</v>
      </c>
      <c r="AM14" s="550"/>
      <c r="AN14" s="401">
        <v>300.29999999999995</v>
      </c>
      <c r="AO14" s="509"/>
      <c r="AP14" s="537">
        <v>300.29999999999995</v>
      </c>
      <c r="AQ14" s="538"/>
      <c r="AR14" s="552">
        <f t="shared" si="2"/>
        <v>49.700000000000045</v>
      </c>
      <c r="AS14" s="552">
        <f t="shared" si="2"/>
        <v>0</v>
      </c>
      <c r="AT14" s="552">
        <f>S14-AP14</f>
        <v>-300.29999999999995</v>
      </c>
      <c r="AU14" s="550"/>
    </row>
    <row r="15" spans="2:47" s="61" customFormat="1" ht="15.75" thickBot="1" x14ac:dyDescent="0.3">
      <c r="B15" s="51" t="s">
        <v>168</v>
      </c>
      <c r="C15" s="354"/>
      <c r="D15" s="571"/>
      <c r="E15" s="571"/>
      <c r="F15" s="571"/>
      <c r="G15" s="571"/>
      <c r="H15" s="613"/>
      <c r="I15" s="544"/>
      <c r="J15" s="615"/>
      <c r="K15" s="613"/>
      <c r="L15" s="643">
        <v>2000</v>
      </c>
      <c r="M15" s="562"/>
      <c r="N15" s="618"/>
      <c r="O15" s="618"/>
      <c r="P15" s="475"/>
      <c r="Q15" s="637">
        <v>2000</v>
      </c>
      <c r="R15" s="562"/>
      <c r="S15" s="638">
        <f>P15+Q15</f>
        <v>2000</v>
      </c>
      <c r="T15" s="392"/>
      <c r="U15" s="392"/>
      <c r="V15" s="442"/>
      <c r="W15" s="410">
        <v>2400</v>
      </c>
      <c r="X15" s="548"/>
      <c r="Y15" s="537">
        <v>2400</v>
      </c>
      <c r="Z15" s="538"/>
      <c r="AA15" s="552">
        <f t="shared" si="0"/>
        <v>0</v>
      </c>
      <c r="AB15" s="552">
        <f t="shared" si="0"/>
        <v>-400</v>
      </c>
      <c r="AC15" s="552">
        <f t="shared" si="0"/>
        <v>0</v>
      </c>
      <c r="AD15" s="552">
        <f t="shared" si="0"/>
        <v>-400</v>
      </c>
      <c r="AE15" s="392"/>
      <c r="AF15" s="442"/>
      <c r="AG15" s="410">
        <v>2602.922</v>
      </c>
      <c r="AH15" s="537">
        <v>2602.922</v>
      </c>
      <c r="AI15" s="538"/>
      <c r="AJ15" s="552">
        <f t="shared" si="1"/>
        <v>0</v>
      </c>
      <c r="AK15" s="552">
        <f t="shared" si="1"/>
        <v>-602.92200000000003</v>
      </c>
      <c r="AL15" s="552">
        <f>S15-AH15</f>
        <v>-602.92200000000003</v>
      </c>
      <c r="AM15" s="550"/>
      <c r="AN15" s="442"/>
      <c r="AO15" s="410">
        <v>4629.8999999999996</v>
      </c>
      <c r="AP15" s="537">
        <v>4629.8999999999996</v>
      </c>
      <c r="AQ15" s="538"/>
      <c r="AR15" s="552">
        <f t="shared" si="2"/>
        <v>0</v>
      </c>
      <c r="AS15" s="552">
        <f t="shared" si="2"/>
        <v>-2629.8999999999996</v>
      </c>
      <c r="AT15" s="552">
        <f>S15-AP15</f>
        <v>-2629.8999999999996</v>
      </c>
      <c r="AU15" s="550"/>
    </row>
    <row r="16" spans="2:47" ht="15.75" thickBot="1" x14ac:dyDescent="0.3">
      <c r="B16" s="686" t="s">
        <v>129</v>
      </c>
      <c r="C16" s="687"/>
      <c r="D16" s="628">
        <f>SUM(D17:D49)</f>
        <v>90945</v>
      </c>
      <c r="E16" s="628">
        <f>SUM(E17:E49)</f>
        <v>12637</v>
      </c>
      <c r="F16" s="628">
        <f>SUM(F17:F49)</f>
        <v>25001</v>
      </c>
      <c r="G16" s="628">
        <f>SUM(G17:G49)</f>
        <v>14677.699000000002</v>
      </c>
      <c r="H16" s="628">
        <f>H7-H14</f>
        <v>320000</v>
      </c>
      <c r="I16" s="628">
        <f>I7-I15</f>
        <v>344604.93900000001</v>
      </c>
      <c r="J16" s="628">
        <f>J7</f>
        <v>6011.6170000000002</v>
      </c>
      <c r="K16" s="628">
        <f>H7-K13-K14</f>
        <v>216615.21715519999</v>
      </c>
      <c r="L16" s="628">
        <f>I7-L13-L15</f>
        <v>231647.76694652956</v>
      </c>
      <c r="M16" s="628">
        <f>J7-M13-M14</f>
        <v>6011.6170000000002</v>
      </c>
      <c r="N16" s="684">
        <f>SUM(N17:N50)</f>
        <v>0</v>
      </c>
      <c r="O16" s="630">
        <f>SUM(O17:O49)</f>
        <v>0</v>
      </c>
      <c r="P16" s="630">
        <f>SUM(P17:P49)</f>
        <v>205257.72740030868</v>
      </c>
      <c r="Q16" s="673">
        <f>SUM(Q17:Q49)</f>
        <v>231647.76694652953</v>
      </c>
      <c r="R16" s="630">
        <f>R7</f>
        <v>6011.6170000000002</v>
      </c>
      <c r="S16" s="677">
        <f>SUM(S17:S49)</f>
        <v>442917.49434683839</v>
      </c>
      <c r="T16" s="395"/>
      <c r="U16" s="395"/>
      <c r="V16" s="433">
        <v>266322.42596076755</v>
      </c>
      <c r="W16" s="549">
        <v>216813.81447134397</v>
      </c>
      <c r="X16" s="593">
        <v>132.79596000000001</v>
      </c>
      <c r="Y16" s="537">
        <v>483269.03640211164</v>
      </c>
      <c r="Z16" s="556"/>
      <c r="AA16" s="552">
        <f>P16-V16</f>
        <v>-61064.69856045887</v>
      </c>
      <c r="AB16" s="552">
        <f>Q16-W16</f>
        <v>14833.952475185564</v>
      </c>
      <c r="AC16" s="552">
        <f>R16-X16</f>
        <v>5878.8210399999998</v>
      </c>
      <c r="AD16" s="552">
        <f>S16-Y16</f>
        <v>-40351.542055273254</v>
      </c>
      <c r="AE16" s="395"/>
      <c r="AF16" s="433">
        <v>218615.38594264069</v>
      </c>
      <c r="AG16" s="549">
        <v>204171.7279056219</v>
      </c>
      <c r="AH16" s="537">
        <v>422787.11384826258</v>
      </c>
      <c r="AI16" s="556"/>
      <c r="AJ16" s="552">
        <f t="shared" ref="AJ16:AJ37" si="3">P16-AF16</f>
        <v>-13357.658542332007</v>
      </c>
      <c r="AK16" s="552">
        <f t="shared" ref="AK16:AK37" si="4">Q16-AG16</f>
        <v>27476.039040907635</v>
      </c>
      <c r="AL16" s="552">
        <f t="shared" ref="AL16:AL37" si="5">S16-AH16</f>
        <v>20130.380498575803</v>
      </c>
      <c r="AM16" s="551"/>
      <c r="AN16" s="433">
        <v>230959.98704301094</v>
      </c>
      <c r="AO16" s="549">
        <v>188419.09726199994</v>
      </c>
      <c r="AP16" s="537">
        <v>419379.08430501085</v>
      </c>
      <c r="AQ16" s="556">
        <v>-0.33181574250850832</v>
      </c>
      <c r="AR16" s="552">
        <f t="shared" ref="AR16:AR37" si="6">P16-AN16</f>
        <v>-25702.259642702265</v>
      </c>
      <c r="AS16" s="552">
        <f t="shared" ref="AS16:AS37" si="7">Q16-AO16</f>
        <v>43228.669684529596</v>
      </c>
      <c r="AT16" s="552">
        <f t="shared" ref="AT16:AT37" si="8">S16-AP16</f>
        <v>23538.410041827534</v>
      </c>
      <c r="AU16" s="551"/>
    </row>
    <row r="17" spans="2:56" x14ac:dyDescent="0.25">
      <c r="B17" s="20" t="s">
        <v>164</v>
      </c>
      <c r="C17" s="21">
        <v>3110</v>
      </c>
      <c r="D17" s="425">
        <v>920</v>
      </c>
      <c r="E17" s="426">
        <v>1</v>
      </c>
      <c r="F17" s="426">
        <v>0</v>
      </c>
      <c r="G17" s="425"/>
      <c r="H17" s="619"/>
      <c r="I17" s="619"/>
      <c r="J17" s="619"/>
      <c r="K17" s="426"/>
      <c r="L17" s="426"/>
      <c r="M17" s="426"/>
      <c r="N17" s="619"/>
      <c r="O17" s="619"/>
      <c r="P17" s="426"/>
      <c r="Q17" s="426"/>
      <c r="R17" s="426"/>
      <c r="S17" s="678"/>
      <c r="T17" s="559">
        <f>SUM(S18:S20)</f>
        <v>79160.973985851713</v>
      </c>
      <c r="U17" s="563"/>
      <c r="V17" s="420"/>
      <c r="W17" s="446"/>
      <c r="X17" s="594"/>
      <c r="Y17" s="558"/>
      <c r="Z17" s="559">
        <f>SUM(Y18:Y20)</f>
        <v>72488.099644155503</v>
      </c>
      <c r="AA17" s="570">
        <f t="shared" ref="AA17" si="9">H17-V17</f>
        <v>0</v>
      </c>
      <c r="AB17" s="570">
        <f t="shared" ref="AB17" si="10">I17-W17</f>
        <v>0</v>
      </c>
      <c r="AC17" s="570"/>
      <c r="AD17" s="570">
        <f t="shared" ref="AD17" si="11">K17-Y17</f>
        <v>0</v>
      </c>
      <c r="AE17" s="563"/>
      <c r="AF17" s="420"/>
      <c r="AG17" s="446"/>
      <c r="AH17" s="558"/>
      <c r="AI17" s="559">
        <v>64839.344782853448</v>
      </c>
      <c r="AJ17" s="570">
        <f t="shared" si="3"/>
        <v>0</v>
      </c>
      <c r="AK17" s="570">
        <f t="shared" si="4"/>
        <v>0</v>
      </c>
      <c r="AL17" s="570">
        <f t="shared" si="5"/>
        <v>0</v>
      </c>
      <c r="AM17" s="569">
        <f>T17-AI17</f>
        <v>14321.629202998265</v>
      </c>
      <c r="AN17" s="420">
        <v>0</v>
      </c>
      <c r="AO17" s="446">
        <v>0</v>
      </c>
      <c r="AP17" s="558">
        <v>0</v>
      </c>
      <c r="AQ17" s="559">
        <f>SUM(AP18:AP20)</f>
        <v>61177.487287177493</v>
      </c>
      <c r="AR17" s="560">
        <f t="shared" si="6"/>
        <v>0</v>
      </c>
      <c r="AS17" s="560">
        <f t="shared" si="7"/>
        <v>0</v>
      </c>
      <c r="AT17" s="560">
        <f t="shared" si="8"/>
        <v>0</v>
      </c>
      <c r="AU17" s="569">
        <f>T17-AQ17</f>
        <v>17983.48669867422</v>
      </c>
    </row>
    <row r="18" spans="2:56" x14ac:dyDescent="0.25">
      <c r="B18" s="2" t="s">
        <v>29</v>
      </c>
      <c r="C18" s="15">
        <v>3111</v>
      </c>
      <c r="D18" s="377">
        <v>8614</v>
      </c>
      <c r="E18" s="377">
        <v>170</v>
      </c>
      <c r="F18" s="377">
        <v>212</v>
      </c>
      <c r="G18" s="377">
        <v>28.696000000000002</v>
      </c>
      <c r="H18" s="389">
        <v>12820.115435426962</v>
      </c>
      <c r="I18" s="389">
        <v>17351.985320319174</v>
      </c>
      <c r="J18" s="389"/>
      <c r="K18" s="389">
        <f>H18*(1-K$8-K$11)-K$14*H18/H$7</f>
        <v>8678.225278124195</v>
      </c>
      <c r="L18" s="389">
        <f>I18*(1-L$8-L$11)-L$15*I18/I$16</f>
        <v>11664.222408434191</v>
      </c>
      <c r="M18" s="389">
        <f t="shared" ref="M18:M49" si="12">J18</f>
        <v>0</v>
      </c>
      <c r="N18" s="620"/>
      <c r="O18" s="620"/>
      <c r="P18" s="389">
        <f>K18+N18</f>
        <v>8678.225278124195</v>
      </c>
      <c r="Q18" s="389">
        <f t="shared" ref="Q18:Q49" si="13">L18+O18</f>
        <v>11664.222408434191</v>
      </c>
      <c r="R18" s="389">
        <f>M18</f>
        <v>0</v>
      </c>
      <c r="S18" s="676">
        <f>P18+Q18+R18</f>
        <v>20342.447686558386</v>
      </c>
      <c r="T18" s="9"/>
      <c r="U18" s="9"/>
      <c r="V18" s="421">
        <v>6920.4098399334916</v>
      </c>
      <c r="W18" s="444">
        <v>11225.153275629371</v>
      </c>
      <c r="X18" s="444">
        <v>0</v>
      </c>
      <c r="Y18" s="537">
        <v>18145.563115562862</v>
      </c>
      <c r="Z18" s="9"/>
      <c r="AA18" s="552">
        <f>P18-V18</f>
        <v>1757.8154381907034</v>
      </c>
      <c r="AB18" s="552">
        <f>Q18-W18</f>
        <v>439.06913280481967</v>
      </c>
      <c r="AC18" s="552">
        <f>R18-X18</f>
        <v>0</v>
      </c>
      <c r="AD18" s="552">
        <f>S18-Y18</f>
        <v>2196.884570995524</v>
      </c>
      <c r="AE18" s="9"/>
      <c r="AF18" s="421">
        <v>6081.9890987597901</v>
      </c>
      <c r="AG18" s="444">
        <v>10918.479648018474</v>
      </c>
      <c r="AH18" s="537">
        <v>17000.468746778264</v>
      </c>
      <c r="AI18" s="538"/>
      <c r="AJ18" s="552">
        <f t="shared" si="3"/>
        <v>2596.236179364405</v>
      </c>
      <c r="AK18" s="552">
        <f t="shared" si="4"/>
        <v>745.74276041571648</v>
      </c>
      <c r="AL18" s="552">
        <f t="shared" si="5"/>
        <v>3341.9789397801214</v>
      </c>
      <c r="AM18" s="551"/>
      <c r="AN18" s="421">
        <v>6003.4695390177276</v>
      </c>
      <c r="AO18" s="444">
        <v>10173.665855373632</v>
      </c>
      <c r="AP18" s="537">
        <v>16177.13539439136</v>
      </c>
      <c r="AQ18" s="538"/>
      <c r="AR18" s="552">
        <f t="shared" si="6"/>
        <v>2674.7557391064674</v>
      </c>
      <c r="AS18" s="552">
        <f t="shared" si="7"/>
        <v>1490.5565530605581</v>
      </c>
      <c r="AT18" s="552">
        <f t="shared" si="8"/>
        <v>4165.3122921670256</v>
      </c>
      <c r="AU18" s="551"/>
    </row>
    <row r="19" spans="2:56" x14ac:dyDescent="0.25">
      <c r="B19" s="37" t="s">
        <v>0</v>
      </c>
      <c r="C19" s="16">
        <v>3112</v>
      </c>
      <c r="D19" s="377">
        <v>6132</v>
      </c>
      <c r="E19" s="377">
        <v>147</v>
      </c>
      <c r="F19" s="377">
        <v>77</v>
      </c>
      <c r="G19" s="377">
        <v>8.93</v>
      </c>
      <c r="H19" s="389">
        <v>20867.127583703616</v>
      </c>
      <c r="I19" s="389">
        <v>14698.175320204893</v>
      </c>
      <c r="J19" s="389">
        <v>1222</v>
      </c>
      <c r="K19" s="389">
        <f>H19*(1-K$8-K$11)-K$14*H19/H$7</f>
        <v>14125.42929046632</v>
      </c>
      <c r="L19" s="389">
        <f>I19*(1-L$8-L$11)-L$15*I19/I$16</f>
        <v>9880.2980044173273</v>
      </c>
      <c r="M19" s="389">
        <f t="shared" si="12"/>
        <v>1222</v>
      </c>
      <c r="N19" s="389">
        <v>516</v>
      </c>
      <c r="O19" s="389"/>
      <c r="P19" s="389">
        <f t="shared" ref="P19:P50" si="14">K19+N19</f>
        <v>14641.42929046632</v>
      </c>
      <c r="Q19" s="389">
        <f t="shared" si="13"/>
        <v>9880.2980044173273</v>
      </c>
      <c r="R19" s="389">
        <f t="shared" ref="R19:R20" si="15">M19</f>
        <v>1222</v>
      </c>
      <c r="S19" s="676">
        <f t="shared" ref="S19:S49" si="16">P19+Q19+R19</f>
        <v>25743.727294883647</v>
      </c>
      <c r="T19" s="9"/>
      <c r="U19" s="9"/>
      <c r="V19" s="421">
        <v>11871.407459640141</v>
      </c>
      <c r="W19" s="444">
        <v>9060.0680161788441</v>
      </c>
      <c r="X19" s="444">
        <v>24.199400000000001</v>
      </c>
      <c r="Y19" s="537">
        <v>20955.674875818986</v>
      </c>
      <c r="Z19" s="9"/>
      <c r="AA19" s="552">
        <f t="shared" ref="AA19:AA49" si="17">P19-V19</f>
        <v>2770.0218308261792</v>
      </c>
      <c r="AB19" s="552">
        <f t="shared" ref="AB19:AB49" si="18">Q19-W19</f>
        <v>820.2299882384832</v>
      </c>
      <c r="AC19" s="552">
        <f t="shared" ref="AC19:AC49" si="19">R19-X19</f>
        <v>1197.8006</v>
      </c>
      <c r="AD19" s="552">
        <f t="shared" ref="AD19:AD49" si="20">S19-Y19</f>
        <v>4788.0524190646611</v>
      </c>
      <c r="AE19" s="9"/>
      <c r="AF19" s="421">
        <v>8806.5340488904167</v>
      </c>
      <c r="AG19" s="444">
        <v>8911.5951086036639</v>
      </c>
      <c r="AH19" s="537">
        <v>17718.129157494081</v>
      </c>
      <c r="AI19" s="538"/>
      <c r="AJ19" s="552">
        <f t="shared" si="3"/>
        <v>5834.8952415759031</v>
      </c>
      <c r="AK19" s="552">
        <f t="shared" si="4"/>
        <v>968.70289581366342</v>
      </c>
      <c r="AL19" s="552">
        <f t="shared" si="5"/>
        <v>8025.5981373895665</v>
      </c>
      <c r="AM19" s="551"/>
      <c r="AN19" s="421">
        <v>9914.9219608681342</v>
      </c>
      <c r="AO19" s="444">
        <v>7696.0499747860422</v>
      </c>
      <c r="AP19" s="537">
        <v>17610.971935654175</v>
      </c>
      <c r="AQ19" s="538"/>
      <c r="AR19" s="552">
        <f t="shared" si="6"/>
        <v>4726.5073295981856</v>
      </c>
      <c r="AS19" s="552">
        <f t="shared" si="7"/>
        <v>2184.2480296312851</v>
      </c>
      <c r="AT19" s="552">
        <f t="shared" si="8"/>
        <v>8132.7553592294717</v>
      </c>
      <c r="AU19" s="551"/>
    </row>
    <row r="20" spans="2:56" ht="15.75" thickBot="1" x14ac:dyDescent="0.3">
      <c r="B20" s="18" t="s">
        <v>79</v>
      </c>
      <c r="C20" s="19">
        <v>3113</v>
      </c>
      <c r="D20" s="377">
        <v>7974</v>
      </c>
      <c r="E20" s="377">
        <v>2</v>
      </c>
      <c r="F20" s="377">
        <v>54</v>
      </c>
      <c r="G20" s="642">
        <v>37.186</v>
      </c>
      <c r="H20" s="566">
        <v>19652.032217524331</v>
      </c>
      <c r="I20" s="566">
        <v>29390.845184281305</v>
      </c>
      <c r="J20" s="566">
        <v>15</v>
      </c>
      <c r="K20" s="566">
        <f>H20*(1-K$8-K$11)-K$14*H20/H$7</f>
        <v>13302.903832312561</v>
      </c>
      <c r="L20" s="566">
        <f>I20*(1-L$8-L$11)-L$15*I20/I$16</f>
        <v>19756.895172097127</v>
      </c>
      <c r="M20" s="566">
        <f t="shared" si="12"/>
        <v>15</v>
      </c>
      <c r="N20" s="621"/>
      <c r="O20" s="621"/>
      <c r="P20" s="566">
        <f t="shared" si="14"/>
        <v>13302.903832312561</v>
      </c>
      <c r="Q20" s="566">
        <f t="shared" si="13"/>
        <v>19756.895172097127</v>
      </c>
      <c r="R20" s="566">
        <f t="shared" si="15"/>
        <v>15</v>
      </c>
      <c r="S20" s="676">
        <f t="shared" si="16"/>
        <v>33074.799004409688</v>
      </c>
      <c r="T20" s="9"/>
      <c r="U20" s="9"/>
      <c r="V20" s="422">
        <v>15737.850935140108</v>
      </c>
      <c r="W20" s="445">
        <v>17646.325437633564</v>
      </c>
      <c r="X20" s="595">
        <v>2.6852800000000001</v>
      </c>
      <c r="Y20" s="537">
        <v>33386.861652773667</v>
      </c>
      <c r="Z20" s="9"/>
      <c r="AA20" s="552">
        <f t="shared" si="17"/>
        <v>-2434.9471028275475</v>
      </c>
      <c r="AB20" s="552">
        <f t="shared" si="18"/>
        <v>2110.5697344635628</v>
      </c>
      <c r="AC20" s="552">
        <f t="shared" si="19"/>
        <v>12.314719999999999</v>
      </c>
      <c r="AD20" s="552">
        <f t="shared" si="20"/>
        <v>-312.06264836397895</v>
      </c>
      <c r="AE20" s="9"/>
      <c r="AF20" s="422">
        <v>12714.223301535247</v>
      </c>
      <c r="AG20" s="445">
        <v>17406.523577045853</v>
      </c>
      <c r="AH20" s="537">
        <v>30120.7468785811</v>
      </c>
      <c r="AI20" s="538"/>
      <c r="AJ20" s="552">
        <f t="shared" si="3"/>
        <v>588.68053077731383</v>
      </c>
      <c r="AK20" s="552">
        <f t="shared" si="4"/>
        <v>2350.3715950512742</v>
      </c>
      <c r="AL20" s="552">
        <f t="shared" si="5"/>
        <v>2954.052125828588</v>
      </c>
      <c r="AM20" s="551"/>
      <c r="AN20" s="422">
        <v>11398.203481195644</v>
      </c>
      <c r="AO20" s="445">
        <v>15991.17647593632</v>
      </c>
      <c r="AP20" s="537">
        <v>27389.379957131961</v>
      </c>
      <c r="AQ20" s="538"/>
      <c r="AR20" s="552">
        <f t="shared" si="6"/>
        <v>1904.7003511169169</v>
      </c>
      <c r="AS20" s="552">
        <f t="shared" si="7"/>
        <v>3765.7186961608077</v>
      </c>
      <c r="AT20" s="552">
        <f t="shared" si="8"/>
        <v>5685.4190472777263</v>
      </c>
      <c r="AU20" s="551"/>
    </row>
    <row r="21" spans="2:56" x14ac:dyDescent="0.25">
      <c r="B21" s="20" t="s">
        <v>2</v>
      </c>
      <c r="C21" s="21">
        <v>3120</v>
      </c>
      <c r="D21" s="425">
        <v>1555</v>
      </c>
      <c r="E21" s="426">
        <v>18</v>
      </c>
      <c r="F21" s="426">
        <v>0</v>
      </c>
      <c r="G21" s="425"/>
      <c r="H21" s="426"/>
      <c r="I21" s="426" t="s">
        <v>163</v>
      </c>
      <c r="J21" s="426"/>
      <c r="K21" s="426"/>
      <c r="L21" s="426"/>
      <c r="M21" s="426"/>
      <c r="N21" s="619"/>
      <c r="O21" s="619"/>
      <c r="P21" s="426">
        <f t="shared" si="14"/>
        <v>0</v>
      </c>
      <c r="Q21" s="426">
        <f t="shared" si="13"/>
        <v>0</v>
      </c>
      <c r="R21" s="426"/>
      <c r="S21" s="679">
        <f t="shared" si="16"/>
        <v>0</v>
      </c>
      <c r="T21" s="559">
        <f>SUM(S22:S25)</f>
        <v>66415.185475003644</v>
      </c>
      <c r="U21" s="398"/>
      <c r="V21" s="420">
        <v>0</v>
      </c>
      <c r="W21" s="446">
        <v>0</v>
      </c>
      <c r="X21" s="594"/>
      <c r="Y21" s="558">
        <v>0</v>
      </c>
      <c r="Z21" s="559">
        <f>SUM(Y22:Y25)</f>
        <v>63758.192394045298</v>
      </c>
      <c r="AA21" s="570">
        <f t="shared" si="17"/>
        <v>0</v>
      </c>
      <c r="AB21" s="570">
        <f t="shared" si="18"/>
        <v>0</v>
      </c>
      <c r="AC21" s="570">
        <f t="shared" si="19"/>
        <v>0</v>
      </c>
      <c r="AD21" s="570">
        <f t="shared" si="20"/>
        <v>0</v>
      </c>
      <c r="AE21" s="398"/>
      <c r="AF21" s="420">
        <v>0</v>
      </c>
      <c r="AG21" s="446">
        <v>0</v>
      </c>
      <c r="AH21" s="558">
        <v>0</v>
      </c>
      <c r="AI21" s="559">
        <v>57417.731796310996</v>
      </c>
      <c r="AJ21" s="570">
        <f t="shared" si="3"/>
        <v>0</v>
      </c>
      <c r="AK21" s="570">
        <f t="shared" si="4"/>
        <v>0</v>
      </c>
      <c r="AL21" s="570">
        <f t="shared" si="5"/>
        <v>0</v>
      </c>
      <c r="AM21" s="569">
        <f>T21-AI21</f>
        <v>8997.4536786926474</v>
      </c>
      <c r="AN21" s="420">
        <v>0</v>
      </c>
      <c r="AO21" s="446">
        <v>0</v>
      </c>
      <c r="AP21" s="558">
        <v>0</v>
      </c>
      <c r="AQ21" s="559">
        <f>SUM(AP22:AP25)</f>
        <v>51279.295380604693</v>
      </c>
      <c r="AR21" s="560">
        <f t="shared" si="6"/>
        <v>0</v>
      </c>
      <c r="AS21" s="560">
        <f t="shared" si="7"/>
        <v>0</v>
      </c>
      <c r="AT21" s="560">
        <f t="shared" si="8"/>
        <v>0</v>
      </c>
      <c r="AU21" s="569">
        <f>T21-AQ21</f>
        <v>15135.89009439895</v>
      </c>
    </row>
    <row r="22" spans="2:56" x14ac:dyDescent="0.25">
      <c r="B22" s="2" t="s">
        <v>3</v>
      </c>
      <c r="C22" s="15">
        <v>3122</v>
      </c>
      <c r="D22" s="377">
        <v>3108</v>
      </c>
      <c r="E22" s="377">
        <v>385</v>
      </c>
      <c r="F22" s="377">
        <v>827</v>
      </c>
      <c r="G22" s="377">
        <v>427.35500000000002</v>
      </c>
      <c r="H22" s="389">
        <v>7362.8752742712586</v>
      </c>
      <c r="I22" s="389">
        <v>19284.397507704602</v>
      </c>
      <c r="J22" s="389">
        <v>1047</v>
      </c>
      <c r="K22" s="389">
        <f>H22*(1-K$8-K$11)-K$14*H22/H$7</f>
        <v>4984.0963325716293</v>
      </c>
      <c r="L22" s="389">
        <f>I22*(1-L$8-L$11)-L$15*I22/I$16</f>
        <v>12963.21414467304</v>
      </c>
      <c r="M22" s="389">
        <f t="shared" si="12"/>
        <v>1047</v>
      </c>
      <c r="N22" s="620"/>
      <c r="O22" s="389">
        <v>-161.25400221808513</v>
      </c>
      <c r="P22" s="389">
        <f t="shared" si="14"/>
        <v>4984.0963325716293</v>
      </c>
      <c r="Q22" s="389">
        <f t="shared" si="13"/>
        <v>12801.960142454955</v>
      </c>
      <c r="R22" s="389">
        <f t="shared" ref="R22:R25" si="21">M22</f>
        <v>1047</v>
      </c>
      <c r="S22" s="676">
        <f t="shared" si="16"/>
        <v>18833.056475026584</v>
      </c>
      <c r="T22" s="9"/>
      <c r="U22" s="9"/>
      <c r="V22" s="421">
        <v>2076.3091485067503</v>
      </c>
      <c r="W22" s="444">
        <v>11471.735206215766</v>
      </c>
      <c r="X22" s="444">
        <v>12.08555</v>
      </c>
      <c r="Y22" s="537">
        <v>13560.129904722517</v>
      </c>
      <c r="Z22" s="9"/>
      <c r="AA22" s="552">
        <f t="shared" si="17"/>
        <v>2907.7871840648791</v>
      </c>
      <c r="AB22" s="552">
        <f t="shared" si="18"/>
        <v>1330.2249362391885</v>
      </c>
      <c r="AC22" s="552">
        <f t="shared" si="19"/>
        <v>1034.91445</v>
      </c>
      <c r="AD22" s="552">
        <f t="shared" si="20"/>
        <v>5272.9265703040674</v>
      </c>
      <c r="AE22" s="9"/>
      <c r="AF22" s="421">
        <v>1484.4881108688455</v>
      </c>
      <c r="AG22" s="444">
        <v>11724.110269487073</v>
      </c>
      <c r="AH22" s="537">
        <v>13208.598380355919</v>
      </c>
      <c r="AI22" s="538"/>
      <c r="AJ22" s="552">
        <f t="shared" si="3"/>
        <v>3499.6082217027838</v>
      </c>
      <c r="AK22" s="552">
        <f t="shared" si="4"/>
        <v>1077.8498729678813</v>
      </c>
      <c r="AL22" s="552">
        <f t="shared" si="5"/>
        <v>5624.4580946706647</v>
      </c>
      <c r="AM22" s="551"/>
      <c r="AN22" s="421">
        <v>1135.5104683406632</v>
      </c>
      <c r="AO22" s="444">
        <v>10046.686993735522</v>
      </c>
      <c r="AP22" s="537">
        <v>11182.197462076185</v>
      </c>
      <c r="AQ22" s="538"/>
      <c r="AR22" s="552">
        <f t="shared" si="6"/>
        <v>3848.5858642309659</v>
      </c>
      <c r="AS22" s="552">
        <f t="shared" si="7"/>
        <v>2755.2731487194324</v>
      </c>
      <c r="AT22" s="552">
        <f t="shared" si="8"/>
        <v>7650.8590129503991</v>
      </c>
      <c r="AU22" s="551"/>
    </row>
    <row r="23" spans="2:56" x14ac:dyDescent="0.25">
      <c r="B23" s="2" t="s">
        <v>30</v>
      </c>
      <c r="C23" s="15">
        <v>3123</v>
      </c>
      <c r="D23" s="377">
        <v>6229</v>
      </c>
      <c r="E23" s="377">
        <v>1038</v>
      </c>
      <c r="F23" s="377">
        <v>507</v>
      </c>
      <c r="G23" s="377">
        <v>1236.6369999999999</v>
      </c>
      <c r="H23" s="389">
        <v>30212.054995958599</v>
      </c>
      <c r="I23" s="389">
        <v>19373.433743776674</v>
      </c>
      <c r="J23" s="389"/>
      <c r="K23" s="389">
        <f>H23*(1-K$8-K$11)-K$14*H23/H$7</f>
        <v>20451.221417670051</v>
      </c>
      <c r="L23" s="389">
        <f>I23*(1-L$8-L$11)-L$15*I23/I$16</f>
        <v>13023.065420523209</v>
      </c>
      <c r="M23" s="389">
        <f t="shared" si="12"/>
        <v>0</v>
      </c>
      <c r="N23" s="389">
        <v>-516</v>
      </c>
      <c r="O23" s="389">
        <f>-200</f>
        <v>-200</v>
      </c>
      <c r="P23" s="389">
        <f t="shared" si="14"/>
        <v>19935.221417670051</v>
      </c>
      <c r="Q23" s="389">
        <f t="shared" si="13"/>
        <v>12823.065420523209</v>
      </c>
      <c r="R23" s="389">
        <f t="shared" si="21"/>
        <v>0</v>
      </c>
      <c r="S23" s="676">
        <f t="shared" si="16"/>
        <v>32758.28683819326</v>
      </c>
      <c r="T23" s="9"/>
      <c r="U23" s="9"/>
      <c r="V23" s="421">
        <v>21342.904923820577</v>
      </c>
      <c r="W23" s="444">
        <v>13211.865535603887</v>
      </c>
      <c r="X23" s="444">
        <v>0</v>
      </c>
      <c r="Y23" s="537">
        <v>34554.770459424464</v>
      </c>
      <c r="Z23" s="9"/>
      <c r="AA23" s="552">
        <f t="shared" si="17"/>
        <v>-1407.6835061505262</v>
      </c>
      <c r="AB23" s="552">
        <f t="shared" si="18"/>
        <v>-388.80011508067764</v>
      </c>
      <c r="AC23" s="552">
        <f t="shared" si="19"/>
        <v>0</v>
      </c>
      <c r="AD23" s="552">
        <f t="shared" si="20"/>
        <v>-1796.4836212312039</v>
      </c>
      <c r="AE23" s="9"/>
      <c r="AF23" s="421">
        <v>18727.802953926988</v>
      </c>
      <c r="AG23" s="444">
        <v>12554.140169554121</v>
      </c>
      <c r="AH23" s="537">
        <v>31281.943123481109</v>
      </c>
      <c r="AI23" s="538"/>
      <c r="AJ23" s="552">
        <f t="shared" si="3"/>
        <v>1207.4184637430626</v>
      </c>
      <c r="AK23" s="552">
        <f t="shared" si="4"/>
        <v>268.92525096908867</v>
      </c>
      <c r="AL23" s="552">
        <f t="shared" si="5"/>
        <v>1476.3437147121513</v>
      </c>
      <c r="AM23" s="551"/>
      <c r="AN23" s="421">
        <v>21145.040845803946</v>
      </c>
      <c r="AO23" s="444">
        <v>11694.929154616293</v>
      </c>
      <c r="AP23" s="537">
        <v>32839.970000420239</v>
      </c>
      <c r="AQ23" s="538"/>
      <c r="AR23" s="552">
        <f t="shared" si="6"/>
        <v>-1209.8194281338947</v>
      </c>
      <c r="AS23" s="552">
        <f t="shared" si="7"/>
        <v>1128.1362659069164</v>
      </c>
      <c r="AT23" s="552">
        <f t="shared" si="8"/>
        <v>-81.683162226978311</v>
      </c>
      <c r="AU23" s="551"/>
    </row>
    <row r="24" spans="2:56" x14ac:dyDescent="0.25">
      <c r="B24" s="2" t="s">
        <v>4</v>
      </c>
      <c r="C24" s="15">
        <v>3125</v>
      </c>
      <c r="D24" s="377">
        <v>9623</v>
      </c>
      <c r="E24" s="377">
        <v>1210</v>
      </c>
      <c r="F24" s="377">
        <v>7392</v>
      </c>
      <c r="G24" s="377">
        <v>33.116</v>
      </c>
      <c r="H24" s="389">
        <v>15877.315153780561</v>
      </c>
      <c r="I24" s="389">
        <v>4563.8472721285052</v>
      </c>
      <c r="J24" s="389"/>
      <c r="K24" s="389">
        <f>H24*(1-K$8-K$11)-K$14*H24/H$7</f>
        <v>10747.712718367888</v>
      </c>
      <c r="L24" s="389">
        <f>I24*(1-L$8-L$11)-L$15*I24/I$16</f>
        <v>3067.8754411978362</v>
      </c>
      <c r="M24" s="389">
        <f t="shared" si="12"/>
        <v>0</v>
      </c>
      <c r="N24" s="620"/>
      <c r="O24" s="389">
        <v>1008.2540022180852</v>
      </c>
      <c r="P24" s="389">
        <f t="shared" si="14"/>
        <v>10747.712718367888</v>
      </c>
      <c r="Q24" s="389">
        <f t="shared" si="13"/>
        <v>4076.1294434159213</v>
      </c>
      <c r="R24" s="389">
        <f t="shared" si="21"/>
        <v>0</v>
      </c>
      <c r="S24" s="676">
        <f t="shared" si="16"/>
        <v>14823.842161783808</v>
      </c>
      <c r="T24" s="9"/>
      <c r="U24" s="9"/>
      <c r="V24" s="421">
        <v>5955.5075427018619</v>
      </c>
      <c r="W24" s="444">
        <v>3810.2708421648103</v>
      </c>
      <c r="X24" s="444">
        <v>0</v>
      </c>
      <c r="Y24" s="537">
        <v>9765.7783848666732</v>
      </c>
      <c r="Z24" s="9"/>
      <c r="AA24" s="552">
        <f t="shared" si="17"/>
        <v>4792.2051756660258</v>
      </c>
      <c r="AB24" s="552">
        <f t="shared" si="18"/>
        <v>265.85860125111094</v>
      </c>
      <c r="AC24" s="552">
        <f t="shared" si="19"/>
        <v>0</v>
      </c>
      <c r="AD24" s="552">
        <f t="shared" si="20"/>
        <v>5058.0637769171353</v>
      </c>
      <c r="AE24" s="9"/>
      <c r="AF24" s="421">
        <v>3635.5947112287586</v>
      </c>
      <c r="AG24" s="444">
        <v>3919.524057063747</v>
      </c>
      <c r="AH24" s="537">
        <v>7555.1187682925056</v>
      </c>
      <c r="AI24" s="538"/>
      <c r="AJ24" s="552">
        <f t="shared" si="3"/>
        <v>7112.1180071391291</v>
      </c>
      <c r="AK24" s="552">
        <f t="shared" si="4"/>
        <v>156.60538635217426</v>
      </c>
      <c r="AL24" s="552">
        <f t="shared" si="5"/>
        <v>7268.7233934913029</v>
      </c>
      <c r="AM24" s="551"/>
      <c r="AN24" s="421">
        <v>1072.640439077152</v>
      </c>
      <c r="AO24" s="444">
        <v>2322.0136596686434</v>
      </c>
      <c r="AP24" s="537">
        <v>3394.6540987457956</v>
      </c>
      <c r="AQ24" s="538"/>
      <c r="AR24" s="552">
        <f t="shared" si="6"/>
        <v>9675.0722792907363</v>
      </c>
      <c r="AS24" s="552">
        <f t="shared" si="7"/>
        <v>1754.1157837472779</v>
      </c>
      <c r="AT24" s="552">
        <f t="shared" si="8"/>
        <v>11429.188063038013</v>
      </c>
      <c r="AU24" s="551"/>
    </row>
    <row r="25" spans="2:56" ht="15.75" thickBot="1" x14ac:dyDescent="0.3">
      <c r="B25" s="18" t="s">
        <v>5</v>
      </c>
      <c r="C25" s="19">
        <v>3127</v>
      </c>
      <c r="D25" s="377">
        <v>0</v>
      </c>
      <c r="E25" s="377">
        <v>0</v>
      </c>
      <c r="F25" s="377">
        <v>0</v>
      </c>
      <c r="G25" s="642">
        <v>62.588999999999999</v>
      </c>
      <c r="H25" s="566">
        <v>0</v>
      </c>
      <c r="I25" s="566">
        <v>0</v>
      </c>
      <c r="J25" s="566"/>
      <c r="K25" s="566">
        <f>H25*(1-K$8-K$11)-K$14*H25/H$7</f>
        <v>0</v>
      </c>
      <c r="L25" s="566">
        <f>I25*(1-L$8-L$11)-L$15*I25/I$16</f>
        <v>0</v>
      </c>
      <c r="M25" s="566">
        <f t="shared" si="12"/>
        <v>0</v>
      </c>
      <c r="N25" s="621"/>
      <c r="O25" s="566"/>
      <c r="P25" s="566">
        <f t="shared" si="14"/>
        <v>0</v>
      </c>
      <c r="Q25" s="566">
        <f t="shared" si="13"/>
        <v>0</v>
      </c>
      <c r="R25" s="566">
        <f t="shared" si="21"/>
        <v>0</v>
      </c>
      <c r="S25" s="676">
        <f t="shared" si="16"/>
        <v>0</v>
      </c>
      <c r="T25" s="9"/>
      <c r="U25" s="9"/>
      <c r="V25" s="422">
        <v>2847.2899196937983</v>
      </c>
      <c r="W25" s="445">
        <v>3030.2237253378457</v>
      </c>
      <c r="X25" s="595">
        <v>0</v>
      </c>
      <c r="Y25" s="537">
        <v>5877.513645031644</v>
      </c>
      <c r="Z25" s="9"/>
      <c r="AA25" s="552">
        <f t="shared" si="17"/>
        <v>-2847.2899196937983</v>
      </c>
      <c r="AB25" s="552">
        <f t="shared" si="18"/>
        <v>-3030.2237253378457</v>
      </c>
      <c r="AC25" s="552">
        <f t="shared" si="19"/>
        <v>0</v>
      </c>
      <c r="AD25" s="552">
        <f t="shared" si="20"/>
        <v>-5877.513645031644</v>
      </c>
      <c r="AE25" s="9"/>
      <c r="AF25" s="422">
        <v>2391.1080897649754</v>
      </c>
      <c r="AG25" s="445">
        <v>2980.963434416482</v>
      </c>
      <c r="AH25" s="537">
        <v>5372.0715241814578</v>
      </c>
      <c r="AI25" s="538"/>
      <c r="AJ25" s="552">
        <f t="shared" si="3"/>
        <v>-2391.1080897649754</v>
      </c>
      <c r="AK25" s="552">
        <f t="shared" si="4"/>
        <v>-2980.963434416482</v>
      </c>
      <c r="AL25" s="552">
        <f t="shared" si="5"/>
        <v>-5372.0715241814578</v>
      </c>
      <c r="AM25" s="551"/>
      <c r="AN25" s="422">
        <v>3000.8710649855216</v>
      </c>
      <c r="AO25" s="445">
        <v>861.602754376951</v>
      </c>
      <c r="AP25" s="537">
        <v>3862.4738193624726</v>
      </c>
      <c r="AQ25" s="538"/>
      <c r="AR25" s="552">
        <f t="shared" si="6"/>
        <v>-3000.8710649855216</v>
      </c>
      <c r="AS25" s="552">
        <f t="shared" si="7"/>
        <v>-861.602754376951</v>
      </c>
      <c r="AT25" s="552">
        <f t="shared" si="8"/>
        <v>-3862.4738193624726</v>
      </c>
      <c r="AU25" s="551"/>
      <c r="BD25" s="415"/>
    </row>
    <row r="26" spans="2:56" x14ac:dyDescent="0.25">
      <c r="B26" s="20" t="s">
        <v>54</v>
      </c>
      <c r="C26" s="21">
        <v>3130</v>
      </c>
      <c r="D26" s="425">
        <v>631</v>
      </c>
      <c r="E26" s="426">
        <v>849</v>
      </c>
      <c r="F26" s="426">
        <v>0</v>
      </c>
      <c r="G26" s="425"/>
      <c r="H26" s="426"/>
      <c r="I26" s="426" t="s">
        <v>163</v>
      </c>
      <c r="J26" s="426"/>
      <c r="K26" s="426"/>
      <c r="L26" s="426"/>
      <c r="M26" s="426"/>
      <c r="N26" s="619"/>
      <c r="O26" s="426"/>
      <c r="P26" s="426">
        <f t="shared" si="14"/>
        <v>0</v>
      </c>
      <c r="Q26" s="426">
        <f t="shared" si="13"/>
        <v>0</v>
      </c>
      <c r="R26" s="426"/>
      <c r="S26" s="679">
        <f t="shared" si="16"/>
        <v>0</v>
      </c>
      <c r="T26" s="559">
        <f>SUM(S27:S31)</f>
        <v>91795.064920789213</v>
      </c>
      <c r="U26" s="398"/>
      <c r="V26" s="420">
        <v>0</v>
      </c>
      <c r="W26" s="446">
        <v>0</v>
      </c>
      <c r="X26" s="594"/>
      <c r="Y26" s="558">
        <v>0</v>
      </c>
      <c r="Z26" s="559">
        <f>SUM(Y27:Y31)</f>
        <v>63370.647926741745</v>
      </c>
      <c r="AA26" s="570">
        <f t="shared" si="17"/>
        <v>0</v>
      </c>
      <c r="AB26" s="570">
        <f t="shared" si="18"/>
        <v>0</v>
      </c>
      <c r="AC26" s="570">
        <f t="shared" si="19"/>
        <v>0</v>
      </c>
      <c r="AD26" s="570">
        <f t="shared" si="20"/>
        <v>0</v>
      </c>
      <c r="AE26" s="398"/>
      <c r="AF26" s="420">
        <v>0</v>
      </c>
      <c r="AG26" s="446">
        <v>0</v>
      </c>
      <c r="AH26" s="558">
        <v>0</v>
      </c>
      <c r="AI26" s="559">
        <v>51126.138216740714</v>
      </c>
      <c r="AJ26" s="570">
        <f t="shared" si="3"/>
        <v>0</v>
      </c>
      <c r="AK26" s="570">
        <f t="shared" si="4"/>
        <v>0</v>
      </c>
      <c r="AL26" s="570">
        <f t="shared" si="5"/>
        <v>0</v>
      </c>
      <c r="AM26" s="569">
        <f>T26-AI26</f>
        <v>40668.926704048499</v>
      </c>
      <c r="AN26" s="420">
        <v>0</v>
      </c>
      <c r="AO26" s="446">
        <v>0</v>
      </c>
      <c r="AP26" s="558">
        <v>0</v>
      </c>
      <c r="AQ26" s="559">
        <f>SUM(AP27:AP31)</f>
        <v>47036.841991706999</v>
      </c>
      <c r="AR26" s="560">
        <f t="shared" si="6"/>
        <v>0</v>
      </c>
      <c r="AS26" s="560">
        <f t="shared" si="7"/>
        <v>0</v>
      </c>
      <c r="AT26" s="560">
        <f t="shared" si="8"/>
        <v>0</v>
      </c>
      <c r="AU26" s="569">
        <f>T26-AQ26</f>
        <v>44758.222929082214</v>
      </c>
    </row>
    <row r="27" spans="2:56" x14ac:dyDescent="0.25">
      <c r="B27" s="2" t="s">
        <v>31</v>
      </c>
      <c r="C27" s="15">
        <v>3131</v>
      </c>
      <c r="D27" s="377">
        <v>1914</v>
      </c>
      <c r="E27" s="377">
        <v>302</v>
      </c>
      <c r="F27" s="377">
        <v>256</v>
      </c>
      <c r="G27" s="377">
        <v>257.983</v>
      </c>
      <c r="H27" s="389">
        <v>10328.698233213066</v>
      </c>
      <c r="I27" s="389">
        <v>11256.207818849201</v>
      </c>
      <c r="J27" s="389">
        <v>1147</v>
      </c>
      <c r="K27" s="389">
        <f>H27*(1-K$8-K$11)-K$14*H27/H$7</f>
        <v>6991.7287834936842</v>
      </c>
      <c r="L27" s="389">
        <f>I27*(1-L$8-L$11)-L$15*I27/I$16</f>
        <v>7566.5642317520096</v>
      </c>
      <c r="M27" s="389">
        <f t="shared" si="12"/>
        <v>1147</v>
      </c>
      <c r="N27" s="620"/>
      <c r="O27" s="389"/>
      <c r="P27" s="389">
        <f t="shared" si="14"/>
        <v>6991.7287834936842</v>
      </c>
      <c r="Q27" s="389">
        <f t="shared" si="13"/>
        <v>7566.5642317520096</v>
      </c>
      <c r="R27" s="389">
        <f t="shared" ref="R27:R31" si="22">M27</f>
        <v>1147</v>
      </c>
      <c r="S27" s="676">
        <f t="shared" si="16"/>
        <v>15705.293015245694</v>
      </c>
      <c r="T27" s="9"/>
      <c r="U27" s="9"/>
      <c r="V27" s="421">
        <v>5751.3506948907134</v>
      </c>
      <c r="W27" s="444">
        <v>6872.6573057125297</v>
      </c>
      <c r="X27" s="444">
        <v>17.23676</v>
      </c>
      <c r="Y27" s="537">
        <v>12641.244760603244</v>
      </c>
      <c r="Z27" s="9"/>
      <c r="AA27" s="552">
        <f t="shared" si="17"/>
        <v>1240.3780886029708</v>
      </c>
      <c r="AB27" s="552">
        <f t="shared" si="18"/>
        <v>693.90692603947991</v>
      </c>
      <c r="AC27" s="552">
        <f t="shared" si="19"/>
        <v>1129.76324</v>
      </c>
      <c r="AD27" s="552">
        <f t="shared" si="20"/>
        <v>3064.04825464245</v>
      </c>
      <c r="AE27" s="9"/>
      <c r="AF27" s="421">
        <v>3751.1931251060182</v>
      </c>
      <c r="AG27" s="444">
        <v>6708.8635453797551</v>
      </c>
      <c r="AH27" s="537">
        <v>10460.056670485774</v>
      </c>
      <c r="AI27" s="538"/>
      <c r="AJ27" s="552">
        <f t="shared" si="3"/>
        <v>3240.535658387666</v>
      </c>
      <c r="AK27" s="552">
        <f t="shared" si="4"/>
        <v>857.70068637225449</v>
      </c>
      <c r="AL27" s="552">
        <f t="shared" si="5"/>
        <v>5245.23634475992</v>
      </c>
      <c r="AM27" s="551"/>
      <c r="AN27" s="421">
        <v>1883.2585501058559</v>
      </c>
      <c r="AO27" s="444">
        <v>6115.8821985695404</v>
      </c>
      <c r="AP27" s="537">
        <v>7999.140748675396</v>
      </c>
      <c r="AQ27" s="538"/>
      <c r="AR27" s="552">
        <f t="shared" si="6"/>
        <v>5108.4702333878286</v>
      </c>
      <c r="AS27" s="552">
        <f t="shared" si="7"/>
        <v>1450.6820331824692</v>
      </c>
      <c r="AT27" s="552">
        <f t="shared" si="8"/>
        <v>7706.1522665702978</v>
      </c>
      <c r="AU27" s="551"/>
    </row>
    <row r="28" spans="2:56" x14ac:dyDescent="0.25">
      <c r="B28" s="2" t="s">
        <v>32</v>
      </c>
      <c r="C28" s="16">
        <v>3132</v>
      </c>
      <c r="D28" s="377">
        <v>2769</v>
      </c>
      <c r="E28" s="377">
        <v>1272</v>
      </c>
      <c r="F28" s="377">
        <v>2144</v>
      </c>
      <c r="G28" s="377">
        <v>1498.7460000000001</v>
      </c>
      <c r="H28" s="389">
        <v>19252.902954583831</v>
      </c>
      <c r="I28" s="389">
        <v>19222.958742346986</v>
      </c>
      <c r="J28" s="389"/>
      <c r="K28" s="389">
        <f>H28*(1-K$8-K$11)-K$14*H28/H$7</f>
        <v>13032.724232422401</v>
      </c>
      <c r="L28" s="389">
        <f>I28*(1-L$8-L$11)-L$15*I28/I$16</f>
        <v>12921.914235158269</v>
      </c>
      <c r="M28" s="389">
        <f t="shared" si="12"/>
        <v>0</v>
      </c>
      <c r="N28" s="685">
        <v>451.95600000000002</v>
      </c>
      <c r="O28" s="389"/>
      <c r="P28" s="389">
        <f t="shared" si="14"/>
        <v>13484.680232422401</v>
      </c>
      <c r="Q28" s="389">
        <f t="shared" si="13"/>
        <v>12921.914235158269</v>
      </c>
      <c r="R28" s="389">
        <f t="shared" si="22"/>
        <v>0</v>
      </c>
      <c r="S28" s="676">
        <f t="shared" si="16"/>
        <v>26406.594467580668</v>
      </c>
      <c r="T28" s="9"/>
      <c r="U28" s="9"/>
      <c r="V28" s="421">
        <v>1849.5528891682006</v>
      </c>
      <c r="W28" s="444">
        <v>10537.096694581742</v>
      </c>
      <c r="X28" s="444">
        <v>0</v>
      </c>
      <c r="Y28" s="537">
        <v>12386.649583749942</v>
      </c>
      <c r="Z28" s="9"/>
      <c r="AA28" s="552">
        <f t="shared" si="17"/>
        <v>11635.1273432542</v>
      </c>
      <c r="AB28" s="552">
        <f t="shared" si="18"/>
        <v>2384.8175405765269</v>
      </c>
      <c r="AC28" s="552">
        <f t="shared" si="19"/>
        <v>0</v>
      </c>
      <c r="AD28" s="552">
        <f t="shared" si="20"/>
        <v>14019.944883830725</v>
      </c>
      <c r="AE28" s="9"/>
      <c r="AF28" s="421">
        <v>2026.724550485138</v>
      </c>
      <c r="AG28" s="444">
        <v>9104.597252949663</v>
      </c>
      <c r="AH28" s="537">
        <v>11131.321803434801</v>
      </c>
      <c r="AI28" s="538"/>
      <c r="AJ28" s="552">
        <f t="shared" si="3"/>
        <v>11457.955681937263</v>
      </c>
      <c r="AK28" s="552">
        <f t="shared" si="4"/>
        <v>3817.3169822086056</v>
      </c>
      <c r="AL28" s="552">
        <f t="shared" si="5"/>
        <v>15275.272664145867</v>
      </c>
      <c r="AM28" s="551"/>
      <c r="AN28" s="421">
        <v>1168.8490012342886</v>
      </c>
      <c r="AO28" s="444">
        <v>9966.424757029421</v>
      </c>
      <c r="AP28" s="537">
        <v>11135.273758263709</v>
      </c>
      <c r="AQ28" s="538"/>
      <c r="AR28" s="552">
        <f t="shared" si="6"/>
        <v>12315.831231188113</v>
      </c>
      <c r="AS28" s="552">
        <f t="shared" si="7"/>
        <v>2955.4894781288476</v>
      </c>
      <c r="AT28" s="552">
        <f t="shared" si="8"/>
        <v>15271.320709316959</v>
      </c>
      <c r="AU28" s="551"/>
    </row>
    <row r="29" spans="2:56" x14ac:dyDescent="0.25">
      <c r="B29" s="2" t="s">
        <v>33</v>
      </c>
      <c r="C29" s="15">
        <v>3133</v>
      </c>
      <c r="D29" s="377">
        <v>2052</v>
      </c>
      <c r="E29" s="377">
        <v>361</v>
      </c>
      <c r="F29" s="377">
        <v>112</v>
      </c>
      <c r="G29" s="377">
        <v>367.69200000000001</v>
      </c>
      <c r="H29" s="389">
        <v>14486.293292976397</v>
      </c>
      <c r="I29" s="389">
        <v>11735.946824533787</v>
      </c>
      <c r="J29" s="389"/>
      <c r="K29" s="389">
        <f>H29*(1-K$8-K$11)-K$14*H29/H$7</f>
        <v>9806.0986482249973</v>
      </c>
      <c r="L29" s="389">
        <f>I29*(1-L$8-L$11)-L$15*I29/I$16</f>
        <v>7889.050815102989</v>
      </c>
      <c r="M29" s="389">
        <f t="shared" si="12"/>
        <v>0</v>
      </c>
      <c r="N29" s="620"/>
      <c r="O29" s="389"/>
      <c r="P29" s="389">
        <f t="shared" si="14"/>
        <v>9806.0986482249973</v>
      </c>
      <c r="Q29" s="389">
        <f t="shared" si="13"/>
        <v>7889.050815102989</v>
      </c>
      <c r="R29" s="389">
        <f t="shared" si="22"/>
        <v>0</v>
      </c>
      <c r="S29" s="676">
        <f t="shared" si="16"/>
        <v>17695.149463327987</v>
      </c>
      <c r="T29" s="9"/>
      <c r="U29" s="9"/>
      <c r="V29" s="421">
        <v>5772.2785882006283</v>
      </c>
      <c r="W29" s="444">
        <v>6824.2033013480159</v>
      </c>
      <c r="X29" s="444">
        <v>0</v>
      </c>
      <c r="Y29" s="537">
        <v>12596.481889548644</v>
      </c>
      <c r="Z29" s="9"/>
      <c r="AA29" s="552">
        <f t="shared" si="17"/>
        <v>4033.820060024369</v>
      </c>
      <c r="AB29" s="552">
        <f t="shared" si="18"/>
        <v>1064.8475137549731</v>
      </c>
      <c r="AC29" s="552">
        <f t="shared" si="19"/>
        <v>0</v>
      </c>
      <c r="AD29" s="552">
        <f t="shared" si="20"/>
        <v>5098.667573779343</v>
      </c>
      <c r="AE29" s="9"/>
      <c r="AF29" s="421">
        <v>4783.5368891585458</v>
      </c>
      <c r="AG29" s="444">
        <v>6935.115269159498</v>
      </c>
      <c r="AH29" s="537">
        <v>11718.652158318044</v>
      </c>
      <c r="AI29" s="538"/>
      <c r="AJ29" s="552">
        <f t="shared" si="3"/>
        <v>5022.5617590664515</v>
      </c>
      <c r="AK29" s="552">
        <f t="shared" si="4"/>
        <v>953.93554594349098</v>
      </c>
      <c r="AL29" s="552">
        <f t="shared" si="5"/>
        <v>5976.4973050099434</v>
      </c>
      <c r="AM29" s="551"/>
      <c r="AN29" s="421">
        <v>2239.4717526723171</v>
      </c>
      <c r="AO29" s="444">
        <v>5914.027580011385</v>
      </c>
      <c r="AP29" s="537">
        <v>8153.4993326837021</v>
      </c>
      <c r="AQ29" s="538"/>
      <c r="AR29" s="552">
        <f t="shared" si="6"/>
        <v>7566.6268955526803</v>
      </c>
      <c r="AS29" s="552">
        <f t="shared" si="7"/>
        <v>1975.023235091604</v>
      </c>
      <c r="AT29" s="552">
        <f t="shared" si="8"/>
        <v>9541.6501306442842</v>
      </c>
      <c r="AU29" s="551"/>
    </row>
    <row r="30" spans="2:56" x14ac:dyDescent="0.25">
      <c r="B30" s="2" t="s">
        <v>34</v>
      </c>
      <c r="C30" s="15">
        <v>3134</v>
      </c>
      <c r="D30" s="377">
        <v>2405</v>
      </c>
      <c r="E30" s="377">
        <v>118</v>
      </c>
      <c r="F30" s="377">
        <v>652</v>
      </c>
      <c r="G30" s="377">
        <v>1116.364</v>
      </c>
      <c r="H30" s="389">
        <v>12563.975138548447</v>
      </c>
      <c r="I30" s="389">
        <v>10498.613325575487</v>
      </c>
      <c r="J30" s="389"/>
      <c r="K30" s="389">
        <f>H30*(1-K$8-K$11)-K$14*H30/H$7</f>
        <v>8504.8381342787688</v>
      </c>
      <c r="L30" s="389">
        <f>I30*(1-L$8-L$11)-L$15*I30/I$16</f>
        <v>7057.2997008166494</v>
      </c>
      <c r="M30" s="389">
        <f t="shared" si="12"/>
        <v>0</v>
      </c>
      <c r="N30" s="620"/>
      <c r="O30" s="389"/>
      <c r="P30" s="389">
        <f t="shared" si="14"/>
        <v>8504.8381342787688</v>
      </c>
      <c r="Q30" s="389">
        <f t="shared" si="13"/>
        <v>7057.2997008166494</v>
      </c>
      <c r="R30" s="389">
        <f t="shared" si="22"/>
        <v>0</v>
      </c>
      <c r="S30" s="676">
        <f t="shared" si="16"/>
        <v>15562.137835095418</v>
      </c>
      <c r="T30" s="9"/>
      <c r="U30" s="9"/>
      <c r="V30" s="421">
        <v>8332.6317931115718</v>
      </c>
      <c r="W30" s="444">
        <v>7410.7754320946951</v>
      </c>
      <c r="X30" s="444">
        <v>0</v>
      </c>
      <c r="Y30" s="537">
        <v>15743.407225206267</v>
      </c>
      <c r="Z30" s="9"/>
      <c r="AA30" s="552">
        <f t="shared" si="17"/>
        <v>172.20634116719702</v>
      </c>
      <c r="AB30" s="552">
        <f t="shared" si="18"/>
        <v>-353.47573127804571</v>
      </c>
      <c r="AC30" s="552">
        <f t="shared" si="19"/>
        <v>0</v>
      </c>
      <c r="AD30" s="552">
        <f t="shared" si="20"/>
        <v>-181.26939011084869</v>
      </c>
      <c r="AE30" s="9"/>
      <c r="AF30" s="421">
        <v>2312.1990612522868</v>
      </c>
      <c r="AG30" s="444">
        <v>6891.546721362969</v>
      </c>
      <c r="AH30" s="537">
        <v>9203.7457826152568</v>
      </c>
      <c r="AI30" s="538"/>
      <c r="AJ30" s="552">
        <f t="shared" si="3"/>
        <v>6192.639073026482</v>
      </c>
      <c r="AK30" s="552">
        <f t="shared" si="4"/>
        <v>165.75297945368038</v>
      </c>
      <c r="AL30" s="552">
        <f t="shared" si="5"/>
        <v>6358.3920524801615</v>
      </c>
      <c r="AM30" s="551"/>
      <c r="AN30" s="421">
        <v>5761.2801779194588</v>
      </c>
      <c r="AO30" s="444">
        <v>6771.0400718788496</v>
      </c>
      <c r="AP30" s="537">
        <v>12532.320249798307</v>
      </c>
      <c r="AQ30" s="538"/>
      <c r="AR30" s="552">
        <f t="shared" si="6"/>
        <v>2743.5579563593101</v>
      </c>
      <c r="AS30" s="552">
        <f t="shared" si="7"/>
        <v>286.25962893779979</v>
      </c>
      <c r="AT30" s="552">
        <f t="shared" si="8"/>
        <v>3029.8175852971108</v>
      </c>
      <c r="AU30" s="551"/>
    </row>
    <row r="31" spans="2:56" ht="15.75" thickBot="1" x14ac:dyDescent="0.3">
      <c r="B31" s="18" t="s">
        <v>35</v>
      </c>
      <c r="C31" s="19">
        <v>3135</v>
      </c>
      <c r="D31" s="377">
        <v>3299</v>
      </c>
      <c r="E31" s="377">
        <v>44</v>
      </c>
      <c r="F31" s="377">
        <v>272</v>
      </c>
      <c r="G31" s="642">
        <v>507.61599999999999</v>
      </c>
      <c r="H31" s="566">
        <v>4813.8790569249677</v>
      </c>
      <c r="I31" s="566">
        <v>21417.729706752332</v>
      </c>
      <c r="J31" s="566"/>
      <c r="K31" s="566">
        <f>H31*(1-K$8-K$11)-K$14*H31/H$7</f>
        <v>3258.6233039833473</v>
      </c>
      <c r="L31" s="566">
        <f>I31*(1-L$8-L$11)-L$15*I31/I$16</f>
        <v>14397.266835556082</v>
      </c>
      <c r="M31" s="566">
        <f t="shared" si="12"/>
        <v>0</v>
      </c>
      <c r="N31" s="621"/>
      <c r="O31" s="566">
        <f>-1115-115</f>
        <v>-1230</v>
      </c>
      <c r="P31" s="566">
        <f t="shared" si="14"/>
        <v>3258.6233039833473</v>
      </c>
      <c r="Q31" s="566">
        <f t="shared" si="13"/>
        <v>13167.266835556082</v>
      </c>
      <c r="R31" s="566">
        <f t="shared" si="22"/>
        <v>0</v>
      </c>
      <c r="S31" s="676">
        <f t="shared" si="16"/>
        <v>16425.890139539428</v>
      </c>
      <c r="T31" s="9"/>
      <c r="U31" s="9"/>
      <c r="V31" s="422">
        <v>1450.4778762278991</v>
      </c>
      <c r="W31" s="444">
        <v>8552.3865914057496</v>
      </c>
      <c r="X31" s="444">
        <v>0</v>
      </c>
      <c r="Y31" s="537">
        <v>10002.864467633648</v>
      </c>
      <c r="Z31" s="9"/>
      <c r="AA31" s="552">
        <f t="shared" si="17"/>
        <v>1808.1454277554483</v>
      </c>
      <c r="AB31" s="552">
        <f t="shared" si="18"/>
        <v>4614.8802441503321</v>
      </c>
      <c r="AC31" s="552">
        <f t="shared" si="19"/>
        <v>0</v>
      </c>
      <c r="AD31" s="552">
        <f t="shared" si="20"/>
        <v>6423.0256719057797</v>
      </c>
      <c r="AE31" s="9"/>
      <c r="AF31" s="422">
        <v>989.54748295038621</v>
      </c>
      <c r="AG31" s="444">
        <v>7622.8143189364582</v>
      </c>
      <c r="AH31" s="537">
        <v>8612.3618018868438</v>
      </c>
      <c r="AI31" s="538"/>
      <c r="AJ31" s="552">
        <f t="shared" si="3"/>
        <v>2269.0758210329614</v>
      </c>
      <c r="AK31" s="552">
        <f t="shared" si="4"/>
        <v>5544.4525166196236</v>
      </c>
      <c r="AL31" s="552">
        <f t="shared" si="5"/>
        <v>7813.528337652584</v>
      </c>
      <c r="AM31" s="551"/>
      <c r="AN31" s="422">
        <v>1241.4751121727077</v>
      </c>
      <c r="AO31" s="444">
        <v>5974.9327901131728</v>
      </c>
      <c r="AP31" s="537">
        <v>7216.6079022858803</v>
      </c>
      <c r="AQ31" s="538"/>
      <c r="AR31" s="552">
        <f t="shared" si="6"/>
        <v>2017.1481918106397</v>
      </c>
      <c r="AS31" s="552">
        <f t="shared" si="7"/>
        <v>7192.334045442909</v>
      </c>
      <c r="AT31" s="552">
        <f t="shared" si="8"/>
        <v>9209.2822372535484</v>
      </c>
      <c r="AU31" s="551"/>
    </row>
    <row r="32" spans="2:56" x14ac:dyDescent="0.25">
      <c r="B32" s="20" t="s">
        <v>6</v>
      </c>
      <c r="C32" s="21">
        <v>3140</v>
      </c>
      <c r="D32" s="425">
        <v>177</v>
      </c>
      <c r="E32" s="426">
        <v>0</v>
      </c>
      <c r="F32" s="426">
        <v>0</v>
      </c>
      <c r="G32" s="425"/>
      <c r="H32" s="426"/>
      <c r="I32" s="426" t="s">
        <v>163</v>
      </c>
      <c r="J32" s="426"/>
      <c r="K32" s="426"/>
      <c r="L32" s="426"/>
      <c r="M32" s="426"/>
      <c r="N32" s="619"/>
      <c r="O32" s="426"/>
      <c r="P32" s="426">
        <f t="shared" si="14"/>
        <v>0</v>
      </c>
      <c r="Q32" s="426">
        <f t="shared" si="13"/>
        <v>0</v>
      </c>
      <c r="R32" s="426"/>
      <c r="S32" s="679">
        <f t="shared" si="16"/>
        <v>0</v>
      </c>
      <c r="T32" s="559">
        <f>SUM(S33:S39)</f>
        <v>112408.13146341423</v>
      </c>
      <c r="U32" s="398"/>
      <c r="V32" s="420">
        <v>0</v>
      </c>
      <c r="W32" s="446">
        <v>0</v>
      </c>
      <c r="X32" s="594"/>
      <c r="Y32" s="558">
        <v>0</v>
      </c>
      <c r="Z32" s="559">
        <f>SUM(Y33:Y39)</f>
        <v>92424.597045551694</v>
      </c>
      <c r="AA32" s="570">
        <f t="shared" si="17"/>
        <v>0</v>
      </c>
      <c r="AB32" s="570">
        <f t="shared" si="18"/>
        <v>0</v>
      </c>
      <c r="AC32" s="570">
        <f t="shared" si="19"/>
        <v>0</v>
      </c>
      <c r="AD32" s="570">
        <f t="shared" si="20"/>
        <v>0</v>
      </c>
      <c r="AE32" s="398"/>
      <c r="AF32" s="420">
        <v>0</v>
      </c>
      <c r="AG32" s="446">
        <v>0</v>
      </c>
      <c r="AH32" s="558">
        <v>0</v>
      </c>
      <c r="AI32" s="559">
        <v>81826.948660956637</v>
      </c>
      <c r="AJ32" s="570">
        <f t="shared" si="3"/>
        <v>0</v>
      </c>
      <c r="AK32" s="570">
        <f t="shared" si="4"/>
        <v>0</v>
      </c>
      <c r="AL32" s="570">
        <f t="shared" si="5"/>
        <v>0</v>
      </c>
      <c r="AM32" s="569">
        <f>T32-AI32</f>
        <v>30581.182802457595</v>
      </c>
      <c r="AN32" s="420">
        <v>0</v>
      </c>
      <c r="AO32" s="446">
        <v>0</v>
      </c>
      <c r="AP32" s="558">
        <v>0</v>
      </c>
      <c r="AQ32" s="559">
        <f>SUM(AP33:AP37)</f>
        <v>85446.383220346077</v>
      </c>
      <c r="AR32" s="560">
        <f t="shared" si="6"/>
        <v>0</v>
      </c>
      <c r="AS32" s="560">
        <f t="shared" si="7"/>
        <v>0</v>
      </c>
      <c r="AT32" s="560">
        <f t="shared" si="8"/>
        <v>0</v>
      </c>
      <c r="AU32" s="569">
        <f>T32-AQ32</f>
        <v>26961.748243068156</v>
      </c>
    </row>
    <row r="33" spans="2:47" x14ac:dyDescent="0.25">
      <c r="B33" s="2" t="s">
        <v>36</v>
      </c>
      <c r="C33" s="15">
        <v>3141</v>
      </c>
      <c r="D33" s="377">
        <v>210</v>
      </c>
      <c r="E33" s="377">
        <v>466</v>
      </c>
      <c r="F33" s="377">
        <v>422</v>
      </c>
      <c r="G33" s="377">
        <v>257.36099999999999</v>
      </c>
      <c r="H33" s="389">
        <v>11736.057269930312</v>
      </c>
      <c r="I33" s="389">
        <v>14960.686791755226</v>
      </c>
      <c r="J33" s="389">
        <v>1485</v>
      </c>
      <c r="K33" s="389">
        <f>H33*(1-K$8-K$11)-K$14*H33/H$7</f>
        <v>7944.401856474432</v>
      </c>
      <c r="L33" s="389">
        <f t="shared" ref="L33:L39" si="23">I33*(1-L$8-L$11)-L$15*I33/I$16</f>
        <v>10056.761511756908</v>
      </c>
      <c r="M33" s="389">
        <f t="shared" si="12"/>
        <v>1485</v>
      </c>
      <c r="N33" s="620"/>
      <c r="O33" s="389">
        <f>-153.228+315.798</f>
        <v>162.57</v>
      </c>
      <c r="P33" s="389">
        <f t="shared" si="14"/>
        <v>7944.401856474432</v>
      </c>
      <c r="Q33" s="389">
        <f t="shared" si="13"/>
        <v>10219.331511756907</v>
      </c>
      <c r="R33" s="389">
        <f t="shared" ref="R33:R37" si="24">M33</f>
        <v>1485</v>
      </c>
      <c r="S33" s="676">
        <f t="shared" si="16"/>
        <v>19648.73336823134</v>
      </c>
      <c r="T33" s="9"/>
      <c r="U33" s="9"/>
      <c r="V33" s="421">
        <v>7801.0808237206556</v>
      </c>
      <c r="W33" s="444">
        <v>9227.0113156844654</v>
      </c>
      <c r="X33" s="444">
        <v>33.911000000000001</v>
      </c>
      <c r="Y33" s="537">
        <v>17062.003139405122</v>
      </c>
      <c r="Z33" s="9"/>
      <c r="AA33" s="552">
        <f t="shared" si="17"/>
        <v>143.32103275377631</v>
      </c>
      <c r="AB33" s="552">
        <f t="shared" si="18"/>
        <v>992.32019607244183</v>
      </c>
      <c r="AC33" s="552">
        <f t="shared" si="19"/>
        <v>1451.0889999999999</v>
      </c>
      <c r="AD33" s="552">
        <f t="shared" si="20"/>
        <v>2586.7302288262181</v>
      </c>
      <c r="AE33" s="9"/>
      <c r="AF33" s="421">
        <v>6904.1531706097958</v>
      </c>
      <c r="AG33" s="444">
        <v>8618.9767001283526</v>
      </c>
      <c r="AH33" s="537">
        <v>15523.129870738148</v>
      </c>
      <c r="AI33" s="538"/>
      <c r="AJ33" s="552">
        <f t="shared" si="3"/>
        <v>1040.2486858646362</v>
      </c>
      <c r="AK33" s="552">
        <f t="shared" si="4"/>
        <v>1600.3548116285547</v>
      </c>
      <c r="AL33" s="552">
        <f t="shared" si="5"/>
        <v>4125.6034974931918</v>
      </c>
      <c r="AM33" s="551"/>
      <c r="AN33" s="421">
        <v>7074.7592217258098</v>
      </c>
      <c r="AO33" s="444">
        <v>8132.9998427826622</v>
      </c>
      <c r="AP33" s="537">
        <v>15207.759064508471</v>
      </c>
      <c r="AQ33" s="538"/>
      <c r="AR33" s="552">
        <f t="shared" si="6"/>
        <v>869.64263474862219</v>
      </c>
      <c r="AS33" s="552">
        <f t="shared" si="7"/>
        <v>2086.3316689742451</v>
      </c>
      <c r="AT33" s="552">
        <f t="shared" si="8"/>
        <v>4440.9743037228691</v>
      </c>
      <c r="AU33" s="551"/>
    </row>
    <row r="34" spans="2:47" x14ac:dyDescent="0.25">
      <c r="B34" s="2" t="s">
        <v>7</v>
      </c>
      <c r="C34" s="15">
        <v>3142</v>
      </c>
      <c r="D34" s="377">
        <v>3385</v>
      </c>
      <c r="E34" s="377">
        <v>400</v>
      </c>
      <c r="F34" s="377">
        <v>953</v>
      </c>
      <c r="G34" s="377">
        <v>1272.971</v>
      </c>
      <c r="H34" s="389">
        <v>20932.788401089005</v>
      </c>
      <c r="I34" s="389">
        <v>19756.040738269345</v>
      </c>
      <c r="J34" s="389"/>
      <c r="K34" s="389">
        <f>H34*(1-K$8-K$11)-K$14*H34/H$7</f>
        <v>14169.876578642958</v>
      </c>
      <c r="L34" s="389">
        <f t="shared" si="23"/>
        <v>13280.258646335769</v>
      </c>
      <c r="M34" s="389">
        <f t="shared" si="12"/>
        <v>0</v>
      </c>
      <c r="N34" s="620"/>
      <c r="O34" s="389">
        <f>-2000-2300-315.798</f>
        <v>-4615.7979999999998</v>
      </c>
      <c r="P34" s="389">
        <f t="shared" si="14"/>
        <v>14169.876578642958</v>
      </c>
      <c r="Q34" s="389">
        <f t="shared" si="13"/>
        <v>8664.4606463357704</v>
      </c>
      <c r="R34" s="389">
        <f t="shared" si="24"/>
        <v>0</v>
      </c>
      <c r="S34" s="676">
        <f t="shared" si="16"/>
        <v>22834.337224978728</v>
      </c>
      <c r="T34" s="9"/>
      <c r="U34" s="9"/>
      <c r="V34" s="421">
        <v>12489.9592124925</v>
      </c>
      <c r="W34" s="444">
        <v>11462.857069806865</v>
      </c>
      <c r="X34" s="444">
        <v>0</v>
      </c>
      <c r="Y34" s="537">
        <v>23952.816282299365</v>
      </c>
      <c r="Z34" s="9"/>
      <c r="AA34" s="552">
        <f t="shared" si="17"/>
        <v>1679.9173661504574</v>
      </c>
      <c r="AB34" s="552">
        <f t="shared" si="18"/>
        <v>-2798.3964234710947</v>
      </c>
      <c r="AC34" s="552">
        <f t="shared" si="19"/>
        <v>0</v>
      </c>
      <c r="AD34" s="552">
        <f t="shared" si="20"/>
        <v>-1118.4790573206374</v>
      </c>
      <c r="AE34" s="9"/>
      <c r="AF34" s="421">
        <v>9670.9308909763895</v>
      </c>
      <c r="AG34" s="444">
        <v>10928.134251729667</v>
      </c>
      <c r="AH34" s="537">
        <v>20599.065142706058</v>
      </c>
      <c r="AI34" s="538"/>
      <c r="AJ34" s="552">
        <f t="shared" si="3"/>
        <v>4498.9456876665681</v>
      </c>
      <c r="AK34" s="552">
        <f t="shared" si="4"/>
        <v>-2263.6736053938967</v>
      </c>
      <c r="AL34" s="552">
        <f t="shared" si="5"/>
        <v>2235.2720822726696</v>
      </c>
      <c r="AM34" s="551"/>
      <c r="AN34" s="421">
        <v>11541.814077488338</v>
      </c>
      <c r="AO34" s="444">
        <v>9629.4567882088395</v>
      </c>
      <c r="AP34" s="537">
        <v>21171.270865697177</v>
      </c>
      <c r="AQ34" s="538"/>
      <c r="AR34" s="552">
        <f t="shared" si="6"/>
        <v>2628.0625011546199</v>
      </c>
      <c r="AS34" s="552">
        <f t="shared" si="7"/>
        <v>-964.99614187306906</v>
      </c>
      <c r="AT34" s="552">
        <f t="shared" si="8"/>
        <v>1663.0663592815508</v>
      </c>
      <c r="AU34" s="551"/>
    </row>
    <row r="35" spans="2:47" x14ac:dyDescent="0.25">
      <c r="B35" s="2" t="s">
        <v>37</v>
      </c>
      <c r="C35" s="15">
        <v>3143</v>
      </c>
      <c r="D35" s="377">
        <v>4481</v>
      </c>
      <c r="E35" s="377">
        <v>98</v>
      </c>
      <c r="F35" s="377">
        <v>1699</v>
      </c>
      <c r="G35" s="377">
        <v>592.58600000000001</v>
      </c>
      <c r="H35" s="389">
        <v>16198.762196306327</v>
      </c>
      <c r="I35" s="389">
        <v>12648.733969388706</v>
      </c>
      <c r="J35" s="389"/>
      <c r="K35" s="389">
        <f>H35*(1-K$8-K$11)-K$14*H35/H$7</f>
        <v>10965.307471244811</v>
      </c>
      <c r="L35" s="389">
        <f t="shared" si="23"/>
        <v>8502.6377950712013</v>
      </c>
      <c r="M35" s="389">
        <f t="shared" si="12"/>
        <v>0</v>
      </c>
      <c r="N35" s="685">
        <v>1742.943</v>
      </c>
      <c r="O35" s="389"/>
      <c r="P35" s="389">
        <f t="shared" si="14"/>
        <v>12708.25047124481</v>
      </c>
      <c r="Q35" s="389">
        <f t="shared" si="13"/>
        <v>8502.6377950712013</v>
      </c>
      <c r="R35" s="389">
        <f t="shared" si="24"/>
        <v>0</v>
      </c>
      <c r="S35" s="676">
        <f t="shared" si="16"/>
        <v>21210.888266316011</v>
      </c>
      <c r="T35" s="9"/>
      <c r="U35" s="9"/>
      <c r="V35" s="421">
        <v>14877.174979095151</v>
      </c>
      <c r="W35" s="444">
        <v>7185.4504386559383</v>
      </c>
      <c r="X35" s="444">
        <v>0</v>
      </c>
      <c r="Y35" s="537">
        <v>22062.625417751089</v>
      </c>
      <c r="Z35" s="9"/>
      <c r="AA35" s="552">
        <f t="shared" si="17"/>
        <v>-2168.9245078503409</v>
      </c>
      <c r="AB35" s="552">
        <f t="shared" si="18"/>
        <v>1317.1873564152629</v>
      </c>
      <c r="AC35" s="552">
        <f t="shared" si="19"/>
        <v>0</v>
      </c>
      <c r="AD35" s="552">
        <f t="shared" si="20"/>
        <v>-851.73715143507798</v>
      </c>
      <c r="AE35" s="9"/>
      <c r="AF35" s="421">
        <v>13626.587261329192</v>
      </c>
      <c r="AG35" s="444">
        <v>6718.1022544601756</v>
      </c>
      <c r="AH35" s="537">
        <v>20344.689515789367</v>
      </c>
      <c r="AI35" s="538"/>
      <c r="AJ35" s="552">
        <f t="shared" si="3"/>
        <v>-918.3367900843823</v>
      </c>
      <c r="AK35" s="552">
        <f t="shared" si="4"/>
        <v>1784.5355406110257</v>
      </c>
      <c r="AL35" s="552">
        <f t="shared" si="5"/>
        <v>866.19875052664429</v>
      </c>
      <c r="AM35" s="551"/>
      <c r="AN35" s="421">
        <v>15557.608543687515</v>
      </c>
      <c r="AO35" s="444">
        <v>7284.6812632955389</v>
      </c>
      <c r="AP35" s="537">
        <v>22842.289806983055</v>
      </c>
      <c r="AQ35" s="538"/>
      <c r="AR35" s="552">
        <f t="shared" si="6"/>
        <v>-2849.3580724427047</v>
      </c>
      <c r="AS35" s="552">
        <f t="shared" si="7"/>
        <v>1217.9565317756624</v>
      </c>
      <c r="AT35" s="552">
        <f t="shared" si="8"/>
        <v>-1631.4015406670442</v>
      </c>
      <c r="AU35" s="551"/>
    </row>
    <row r="36" spans="2:47" x14ac:dyDescent="0.25">
      <c r="B36" s="2" t="s">
        <v>38</v>
      </c>
      <c r="C36" s="15">
        <v>3144</v>
      </c>
      <c r="D36" s="377">
        <v>1481</v>
      </c>
      <c r="E36" s="377">
        <v>202</v>
      </c>
      <c r="F36" s="377">
        <v>51</v>
      </c>
      <c r="G36" s="377">
        <v>65.613</v>
      </c>
      <c r="H36" s="389">
        <v>7113.9514097198862</v>
      </c>
      <c r="I36" s="389">
        <v>13016.654557140429</v>
      </c>
      <c r="J36" s="389">
        <v>961</v>
      </c>
      <c r="K36" s="389">
        <f>H36*(1-K$8-K$11)-K$14*H36/H$7</f>
        <v>4815.5941545250453</v>
      </c>
      <c r="L36" s="389">
        <f t="shared" si="23"/>
        <v>8749.9586338660902</v>
      </c>
      <c r="M36" s="389">
        <f t="shared" si="12"/>
        <v>961</v>
      </c>
      <c r="N36" s="620"/>
      <c r="O36" s="389">
        <v>153.22800000000001</v>
      </c>
      <c r="P36" s="389">
        <f t="shared" si="14"/>
        <v>4815.5941545250453</v>
      </c>
      <c r="Q36" s="389">
        <f t="shared" si="13"/>
        <v>8903.1866338660893</v>
      </c>
      <c r="R36" s="389">
        <f t="shared" si="24"/>
        <v>961</v>
      </c>
      <c r="S36" s="676">
        <f t="shared" si="16"/>
        <v>14679.780788391134</v>
      </c>
      <c r="T36" s="9"/>
      <c r="U36" s="9"/>
      <c r="V36" s="421">
        <v>4938.8726270969091</v>
      </c>
      <c r="W36" s="444">
        <v>8122.8872438626204</v>
      </c>
      <c r="X36" s="444">
        <v>8.4591799999999999</v>
      </c>
      <c r="Y36" s="537">
        <v>13070.219050959529</v>
      </c>
      <c r="Z36" s="9"/>
      <c r="AA36" s="552">
        <f t="shared" si="17"/>
        <v>-123.27847257186386</v>
      </c>
      <c r="AB36" s="552">
        <f t="shared" si="18"/>
        <v>780.29939000346894</v>
      </c>
      <c r="AC36" s="552">
        <f t="shared" si="19"/>
        <v>952.54082000000005</v>
      </c>
      <c r="AD36" s="552">
        <f t="shared" si="20"/>
        <v>1609.5617374316043</v>
      </c>
      <c r="AE36" s="9"/>
      <c r="AF36" s="421">
        <v>3794.8574114058306</v>
      </c>
      <c r="AG36" s="444">
        <v>6843.0022430614972</v>
      </c>
      <c r="AH36" s="537">
        <v>10637.859654467327</v>
      </c>
      <c r="AI36" s="538"/>
      <c r="AJ36" s="552">
        <f t="shared" si="3"/>
        <v>1020.7367431192147</v>
      </c>
      <c r="AK36" s="552">
        <f t="shared" si="4"/>
        <v>2060.1843908045921</v>
      </c>
      <c r="AL36" s="552">
        <f t="shared" si="5"/>
        <v>4041.9211339238063</v>
      </c>
      <c r="AM36" s="550"/>
      <c r="AN36" s="421">
        <v>3692.08363377666</v>
      </c>
      <c r="AO36" s="444">
        <v>6762.5770401651225</v>
      </c>
      <c r="AP36" s="537">
        <v>10454.660673941782</v>
      </c>
      <c r="AQ36" s="538"/>
      <c r="AR36" s="552">
        <f t="shared" si="6"/>
        <v>1123.5105207483853</v>
      </c>
      <c r="AS36" s="552">
        <f t="shared" si="7"/>
        <v>2140.6095937009668</v>
      </c>
      <c r="AT36" s="552">
        <f t="shared" si="8"/>
        <v>4225.1201144493516</v>
      </c>
      <c r="AU36" s="550"/>
    </row>
    <row r="37" spans="2:47" ht="15.75" thickBot="1" x14ac:dyDescent="0.3">
      <c r="B37" s="2" t="s">
        <v>39</v>
      </c>
      <c r="C37" s="15">
        <v>3145</v>
      </c>
      <c r="D37" s="377">
        <v>6632</v>
      </c>
      <c r="E37" s="377">
        <v>717</v>
      </c>
      <c r="F37" s="377">
        <v>1682</v>
      </c>
      <c r="G37" s="377">
        <v>1720.2239999999999</v>
      </c>
      <c r="H37" s="389">
        <v>8823.2830297633172</v>
      </c>
      <c r="I37" s="389">
        <v>17760.721545681921</v>
      </c>
      <c r="J37" s="389"/>
      <c r="K37" s="389">
        <f>H37*(1-K$8-K$11)-K$14*H37/H$7</f>
        <v>5972.6792797311618</v>
      </c>
      <c r="L37" s="389">
        <f t="shared" si="23"/>
        <v>11938.980031323146</v>
      </c>
      <c r="M37" s="389">
        <f t="shared" si="12"/>
        <v>0</v>
      </c>
      <c r="N37" s="620"/>
      <c r="O37" s="389"/>
      <c r="P37" s="389">
        <f t="shared" si="14"/>
        <v>5972.6792797311618</v>
      </c>
      <c r="Q37" s="389">
        <f t="shared" si="13"/>
        <v>11938.980031323146</v>
      </c>
      <c r="R37" s="389">
        <f t="shared" si="24"/>
        <v>0</v>
      </c>
      <c r="S37" s="676">
        <f t="shared" si="16"/>
        <v>17911.659311054307</v>
      </c>
      <c r="T37" s="9"/>
      <c r="U37" s="9"/>
      <c r="V37" s="422">
        <v>5178.6046314618243</v>
      </c>
      <c r="W37" s="445">
        <v>11098.328523674774</v>
      </c>
      <c r="X37" s="595">
        <v>0</v>
      </c>
      <c r="Y37" s="537">
        <v>16276.933155136598</v>
      </c>
      <c r="Z37" s="9"/>
      <c r="AA37" s="552">
        <f t="shared" si="17"/>
        <v>794.07464826933756</v>
      </c>
      <c r="AB37" s="552">
        <f t="shared" si="18"/>
        <v>840.65150764837199</v>
      </c>
      <c r="AC37" s="552">
        <f t="shared" si="19"/>
        <v>0</v>
      </c>
      <c r="AD37" s="552">
        <f t="shared" si="20"/>
        <v>1634.7261559177095</v>
      </c>
      <c r="AE37" s="9"/>
      <c r="AF37" s="422">
        <v>4949.2283570779136</v>
      </c>
      <c r="AG37" s="445">
        <v>9772.9761201778219</v>
      </c>
      <c r="AH37" s="537">
        <v>14722.204477255735</v>
      </c>
      <c r="AI37" s="538"/>
      <c r="AJ37" s="552">
        <f t="shared" si="3"/>
        <v>1023.4509226532482</v>
      </c>
      <c r="AK37" s="552">
        <f t="shared" si="4"/>
        <v>2166.0039111453243</v>
      </c>
      <c r="AL37" s="552">
        <f t="shared" si="5"/>
        <v>3189.4548337985725</v>
      </c>
      <c r="AM37" s="550"/>
      <c r="AN37" s="422">
        <v>6455.9864610960149</v>
      </c>
      <c r="AO37" s="445">
        <v>9314.4163481195774</v>
      </c>
      <c r="AP37" s="537">
        <v>15770.402809215593</v>
      </c>
      <c r="AQ37" s="538"/>
      <c r="AR37" s="552">
        <f t="shared" si="6"/>
        <v>-483.30718136485302</v>
      </c>
      <c r="AS37" s="552">
        <f t="shared" si="7"/>
        <v>2624.5636832035689</v>
      </c>
      <c r="AT37" s="552">
        <f t="shared" si="8"/>
        <v>2141.256501838714</v>
      </c>
      <c r="AU37" s="550"/>
    </row>
    <row r="38" spans="2:47" s="61" customFormat="1" x14ac:dyDescent="0.25">
      <c r="B38" s="2" t="s">
        <v>180</v>
      </c>
      <c r="C38" s="465">
        <v>3147</v>
      </c>
      <c r="D38" s="377">
        <v>1607</v>
      </c>
      <c r="E38" s="377">
        <v>186</v>
      </c>
      <c r="F38" s="377">
        <v>414</v>
      </c>
      <c r="G38" s="377"/>
      <c r="H38" s="389">
        <v>8252.2454614978033</v>
      </c>
      <c r="I38" s="389"/>
      <c r="J38" s="389"/>
      <c r="K38" s="389">
        <f t="shared" ref="K38:K39" si="25">H38*(1-K$8-K$11)-K$14*H38/H$7</f>
        <v>5586.1310708136261</v>
      </c>
      <c r="L38" s="389">
        <f t="shared" si="23"/>
        <v>0</v>
      </c>
      <c r="M38" s="389"/>
      <c r="N38" s="620"/>
      <c r="O38" s="389">
        <v>2000</v>
      </c>
      <c r="P38" s="389">
        <f t="shared" ref="P38:P39" si="26">K38+N38</f>
        <v>5586.1310708136261</v>
      </c>
      <c r="Q38" s="389">
        <f t="shared" ref="Q38:Q39" si="27">L38+O38</f>
        <v>2000</v>
      </c>
      <c r="R38" s="389">
        <f t="shared" ref="R38:R39" si="28">M38</f>
        <v>0</v>
      </c>
      <c r="S38" s="676">
        <f t="shared" si="16"/>
        <v>7586.1310708136261</v>
      </c>
      <c r="T38" s="9"/>
      <c r="U38" s="9"/>
      <c r="V38" s="632"/>
      <c r="W38" s="593"/>
      <c r="X38" s="593"/>
      <c r="Y38" s="537"/>
      <c r="Z38" s="9"/>
      <c r="AA38" s="552">
        <f t="shared" si="17"/>
        <v>5586.1310708136261</v>
      </c>
      <c r="AB38" s="552">
        <f t="shared" si="18"/>
        <v>2000</v>
      </c>
      <c r="AC38" s="552">
        <f t="shared" si="19"/>
        <v>0</v>
      </c>
      <c r="AD38" s="552">
        <f t="shared" si="20"/>
        <v>7586.1310708136261</v>
      </c>
      <c r="AE38" s="9"/>
      <c r="AF38" s="632"/>
      <c r="AG38" s="593"/>
      <c r="AH38" s="537"/>
      <c r="AI38" s="538"/>
      <c r="AJ38" s="552"/>
      <c r="AK38" s="552"/>
      <c r="AL38" s="552"/>
      <c r="AM38" s="550"/>
      <c r="AN38" s="632"/>
      <c r="AO38" s="593"/>
      <c r="AP38" s="537"/>
      <c r="AQ38" s="538"/>
      <c r="AR38" s="552"/>
      <c r="AS38" s="552"/>
      <c r="AT38" s="552"/>
      <c r="AU38" s="550"/>
    </row>
    <row r="39" spans="2:47" s="61" customFormat="1" ht="15.75" thickBot="1" x14ac:dyDescent="0.3">
      <c r="B39" s="460" t="s">
        <v>181</v>
      </c>
      <c r="C39" s="461">
        <v>3148</v>
      </c>
      <c r="D39" s="634">
        <v>558</v>
      </c>
      <c r="E39" s="478">
        <v>-97</v>
      </c>
      <c r="F39" s="478">
        <v>515</v>
      </c>
      <c r="G39" s="662"/>
      <c r="H39" s="633">
        <v>7566.0079669613551</v>
      </c>
      <c r="I39" s="633"/>
      <c r="J39" s="633"/>
      <c r="K39" s="389">
        <f t="shared" si="25"/>
        <v>5121.6014336290846</v>
      </c>
      <c r="L39" s="389">
        <f t="shared" si="23"/>
        <v>0</v>
      </c>
      <c r="M39" s="633"/>
      <c r="N39" s="633">
        <v>1000</v>
      </c>
      <c r="O39" s="633">
        <f>115+2300</f>
        <v>2415</v>
      </c>
      <c r="P39" s="389">
        <f t="shared" si="26"/>
        <v>6121.6014336290846</v>
      </c>
      <c r="Q39" s="389">
        <f t="shared" si="27"/>
        <v>2415</v>
      </c>
      <c r="R39" s="389">
        <f t="shared" si="28"/>
        <v>0</v>
      </c>
      <c r="S39" s="676">
        <f t="shared" si="16"/>
        <v>8536.6014336290846</v>
      </c>
      <c r="T39" s="9"/>
      <c r="U39" s="9"/>
      <c r="V39" s="632"/>
      <c r="W39" s="593"/>
      <c r="X39" s="593"/>
      <c r="Y39" s="537"/>
      <c r="Z39" s="9"/>
      <c r="AA39" s="552">
        <f t="shared" si="17"/>
        <v>6121.6014336290846</v>
      </c>
      <c r="AB39" s="552">
        <f t="shared" si="18"/>
        <v>2415</v>
      </c>
      <c r="AC39" s="552">
        <f t="shared" si="19"/>
        <v>0</v>
      </c>
      <c r="AD39" s="552">
        <f t="shared" si="20"/>
        <v>8536.6014336290846</v>
      </c>
      <c r="AE39" s="9"/>
      <c r="AF39" s="632"/>
      <c r="AG39" s="593"/>
      <c r="AH39" s="537"/>
      <c r="AI39" s="538"/>
      <c r="AJ39" s="552"/>
      <c r="AK39" s="552"/>
      <c r="AL39" s="552"/>
      <c r="AM39" s="550"/>
      <c r="AN39" s="632"/>
      <c r="AO39" s="593"/>
      <c r="AP39" s="537"/>
      <c r="AQ39" s="538"/>
      <c r="AR39" s="552"/>
      <c r="AS39" s="552"/>
      <c r="AT39" s="552"/>
      <c r="AU39" s="550"/>
    </row>
    <row r="40" spans="2:47" x14ac:dyDescent="0.25">
      <c r="B40" s="20" t="s">
        <v>53</v>
      </c>
      <c r="C40" s="21">
        <v>3150</v>
      </c>
      <c r="D40" s="425">
        <v>0</v>
      </c>
      <c r="E40" s="426">
        <v>0</v>
      </c>
      <c r="F40" s="426">
        <v>0</v>
      </c>
      <c r="G40" s="425"/>
      <c r="H40" s="426"/>
      <c r="I40" s="426" t="s">
        <v>163</v>
      </c>
      <c r="J40" s="426"/>
      <c r="K40" s="426"/>
      <c r="L40" s="426"/>
      <c r="M40" s="426"/>
      <c r="N40" s="619"/>
      <c r="O40" s="426"/>
      <c r="P40" s="426">
        <f t="shared" si="14"/>
        <v>0</v>
      </c>
      <c r="Q40" s="426">
        <f t="shared" si="13"/>
        <v>0</v>
      </c>
      <c r="R40" s="426"/>
      <c r="S40" s="679">
        <f t="shared" si="16"/>
        <v>0</v>
      </c>
      <c r="T40" s="559">
        <f>SUM(S41:S44)</f>
        <v>62578.964025905363</v>
      </c>
      <c r="U40" s="398"/>
      <c r="V40" s="420">
        <v>0</v>
      </c>
      <c r="W40" s="446">
        <v>0</v>
      </c>
      <c r="X40" s="594"/>
      <c r="Y40" s="558">
        <v>0</v>
      </c>
      <c r="Z40" s="559">
        <f>SUM(Y41:Y44)</f>
        <v>57089.565771707836</v>
      </c>
      <c r="AA40" s="570">
        <f t="shared" si="17"/>
        <v>0</v>
      </c>
      <c r="AB40" s="570">
        <f t="shared" si="18"/>
        <v>0</v>
      </c>
      <c r="AC40" s="570">
        <f t="shared" si="19"/>
        <v>0</v>
      </c>
      <c r="AD40" s="570">
        <f t="shared" si="20"/>
        <v>0</v>
      </c>
      <c r="AE40" s="398"/>
      <c r="AF40" s="420">
        <v>0</v>
      </c>
      <c r="AG40" s="446">
        <v>0</v>
      </c>
      <c r="AH40" s="558">
        <v>0</v>
      </c>
      <c r="AI40" s="559">
        <v>48952.277499978489</v>
      </c>
      <c r="AJ40" s="570">
        <f t="shared" ref="AJ40:AJ49" si="29">P40-AF40</f>
        <v>0</v>
      </c>
      <c r="AK40" s="570">
        <f t="shared" ref="AK40:AK49" si="30">Q40-AG40</f>
        <v>0</v>
      </c>
      <c r="AL40" s="570">
        <f>S40-AH40</f>
        <v>0</v>
      </c>
      <c r="AM40" s="569">
        <f>T40-AI40</f>
        <v>13626.686525926874</v>
      </c>
      <c r="AN40" s="420">
        <v>0</v>
      </c>
      <c r="AO40" s="446">
        <v>0</v>
      </c>
      <c r="AP40" s="558">
        <v>0</v>
      </c>
      <c r="AQ40" s="559">
        <f>SUM(AP41:AP44)</f>
        <v>43842.706351180481</v>
      </c>
      <c r="AR40" s="560">
        <f t="shared" ref="AR40:AR49" si="31">P40-AN40</f>
        <v>0</v>
      </c>
      <c r="AS40" s="560">
        <f t="shared" ref="AS40:AS49" si="32">Q40-AO40</f>
        <v>0</v>
      </c>
      <c r="AT40" s="560">
        <f>S40-AP40</f>
        <v>0</v>
      </c>
      <c r="AU40" s="569">
        <f>T40-AQ40</f>
        <v>18736.257674724882</v>
      </c>
    </row>
    <row r="41" spans="2:47" x14ac:dyDescent="0.25">
      <c r="B41" s="2" t="s">
        <v>40</v>
      </c>
      <c r="C41" s="15">
        <v>3151</v>
      </c>
      <c r="D41" s="377">
        <v>2246</v>
      </c>
      <c r="E41" s="377">
        <v>401</v>
      </c>
      <c r="F41" s="377">
        <v>75</v>
      </c>
      <c r="G41" s="377">
        <v>34.732999999999997</v>
      </c>
      <c r="H41" s="389">
        <v>5239.1871819140842</v>
      </c>
      <c r="I41" s="389">
        <v>34239.622435850033</v>
      </c>
      <c r="J41" s="389">
        <v>129</v>
      </c>
      <c r="K41" s="389">
        <f t="shared" ref="K41:K50" si="33">H41*(1-K$8-K$11)-K$14*H41/H$7</f>
        <v>3546.5239660220614</v>
      </c>
      <c r="L41" s="389">
        <f t="shared" ref="L41:L49" si="34">I41*(1-L$8-L$11)-L$15*I41/I$16</f>
        <v>23016.304123130842</v>
      </c>
      <c r="M41" s="389">
        <f t="shared" si="12"/>
        <v>129</v>
      </c>
      <c r="N41" s="620"/>
      <c r="O41" s="389"/>
      <c r="P41" s="389">
        <f t="shared" si="14"/>
        <v>3546.5239660220614</v>
      </c>
      <c r="Q41" s="389">
        <f t="shared" si="13"/>
        <v>23016.304123130842</v>
      </c>
      <c r="R41" s="389">
        <f t="shared" ref="R41:R44" si="35">M41</f>
        <v>129</v>
      </c>
      <c r="S41" s="676">
        <f t="shared" si="16"/>
        <v>26691.828089152903</v>
      </c>
      <c r="T41" s="9"/>
      <c r="U41" s="9"/>
      <c r="V41" s="421">
        <v>2943.2007843312122</v>
      </c>
      <c r="W41" s="444">
        <v>21209.68882441755</v>
      </c>
      <c r="X41" s="444">
        <v>31.989909999999998</v>
      </c>
      <c r="Y41" s="537">
        <v>24184.879518748763</v>
      </c>
      <c r="Z41" s="9"/>
      <c r="AA41" s="552">
        <f t="shared" si="17"/>
        <v>603.3231816908492</v>
      </c>
      <c r="AB41" s="552">
        <f t="shared" si="18"/>
        <v>1806.6152987132918</v>
      </c>
      <c r="AC41" s="552">
        <f t="shared" si="19"/>
        <v>97.010090000000005</v>
      </c>
      <c r="AD41" s="552">
        <f t="shared" si="20"/>
        <v>2506.9485704041399</v>
      </c>
      <c r="AE41" s="9"/>
      <c r="AF41" s="421">
        <v>2136.460133555112</v>
      </c>
      <c r="AG41" s="444">
        <v>18020.615463149872</v>
      </c>
      <c r="AH41" s="537">
        <v>20157.075596704984</v>
      </c>
      <c r="AI41" s="538"/>
      <c r="AJ41" s="552">
        <f t="shared" si="29"/>
        <v>1410.0638324669494</v>
      </c>
      <c r="AK41" s="552">
        <f t="shared" si="30"/>
        <v>4995.6886599809695</v>
      </c>
      <c r="AL41" s="552">
        <f t="shared" ref="AL41:AL49" si="36">S41-AH41</f>
        <v>6534.7524924479185</v>
      </c>
      <c r="AM41" s="550"/>
      <c r="AN41" s="421">
        <v>2001.5590892797534</v>
      </c>
      <c r="AO41" s="444">
        <v>16519.176699699143</v>
      </c>
      <c r="AP41" s="537">
        <v>18520.735788978895</v>
      </c>
      <c r="AQ41" s="538"/>
      <c r="AR41" s="552">
        <f t="shared" si="31"/>
        <v>1544.964876742308</v>
      </c>
      <c r="AS41" s="552">
        <f t="shared" si="32"/>
        <v>6497.1274234316988</v>
      </c>
      <c r="AT41" s="552">
        <f t="shared" ref="AT41:AT49" si="37">S41-AP41</f>
        <v>8171.0923001740084</v>
      </c>
      <c r="AU41" s="550"/>
    </row>
    <row r="42" spans="2:47" x14ac:dyDescent="0.25">
      <c r="B42" s="2" t="s">
        <v>41</v>
      </c>
      <c r="C42" s="15">
        <v>3152</v>
      </c>
      <c r="D42" s="377">
        <v>800</v>
      </c>
      <c r="E42" s="377">
        <v>101</v>
      </c>
      <c r="F42" s="377">
        <v>627</v>
      </c>
      <c r="G42" s="377">
        <v>379.072</v>
      </c>
      <c r="H42" s="389">
        <v>5255.36303991572</v>
      </c>
      <c r="I42" s="389">
        <v>7475.0955521858905</v>
      </c>
      <c r="J42" s="389">
        <v>6</v>
      </c>
      <c r="K42" s="389">
        <f t="shared" si="33"/>
        <v>3557.4737691273617</v>
      </c>
      <c r="L42" s="389">
        <f t="shared" si="34"/>
        <v>5024.8530894555652</v>
      </c>
      <c r="M42" s="389">
        <f t="shared" si="12"/>
        <v>6</v>
      </c>
      <c r="N42" s="620"/>
      <c r="O42" s="389"/>
      <c r="P42" s="389">
        <f t="shared" si="14"/>
        <v>3557.4737691273617</v>
      </c>
      <c r="Q42" s="389">
        <f t="shared" si="13"/>
        <v>5024.8530894555652</v>
      </c>
      <c r="R42" s="389">
        <f t="shared" si="35"/>
        <v>6</v>
      </c>
      <c r="S42" s="676">
        <f t="shared" si="16"/>
        <v>8588.3268585829264</v>
      </c>
      <c r="T42" s="9"/>
      <c r="U42" s="9"/>
      <c r="V42" s="421">
        <v>3186.7503857792099</v>
      </c>
      <c r="W42" s="444">
        <v>5255.311630764515</v>
      </c>
      <c r="X42" s="444">
        <v>2.2288899999999998</v>
      </c>
      <c r="Y42" s="537">
        <v>8444.2909065437252</v>
      </c>
      <c r="Z42" s="9"/>
      <c r="AA42" s="552">
        <f t="shared" si="17"/>
        <v>370.72338334815186</v>
      </c>
      <c r="AB42" s="552">
        <f t="shared" si="18"/>
        <v>-230.45854130894986</v>
      </c>
      <c r="AC42" s="552">
        <f t="shared" si="19"/>
        <v>3.7711100000000002</v>
      </c>
      <c r="AD42" s="552">
        <f t="shared" si="20"/>
        <v>144.03595203920122</v>
      </c>
      <c r="AE42" s="9"/>
      <c r="AF42" s="421">
        <v>2733.2047055785324</v>
      </c>
      <c r="AG42" s="444">
        <v>5484.0703002691289</v>
      </c>
      <c r="AH42" s="537">
        <v>8217.2750058476613</v>
      </c>
      <c r="AI42" s="538"/>
      <c r="AJ42" s="552">
        <f t="shared" si="29"/>
        <v>824.26906354882931</v>
      </c>
      <c r="AK42" s="552">
        <f t="shared" si="30"/>
        <v>-459.21721081356372</v>
      </c>
      <c r="AL42" s="552">
        <f t="shared" si="36"/>
        <v>371.05185273526513</v>
      </c>
      <c r="AM42" s="550"/>
      <c r="AN42" s="421">
        <v>2687.8059267715507</v>
      </c>
      <c r="AO42" s="444">
        <v>5125.709939328287</v>
      </c>
      <c r="AP42" s="537">
        <v>7813.5158660998377</v>
      </c>
      <c r="AQ42" s="538"/>
      <c r="AR42" s="552">
        <f t="shared" si="31"/>
        <v>869.66784235581099</v>
      </c>
      <c r="AS42" s="552">
        <f t="shared" si="32"/>
        <v>-100.8568498727218</v>
      </c>
      <c r="AT42" s="552">
        <f t="shared" si="37"/>
        <v>774.81099248308874</v>
      </c>
      <c r="AU42" s="550"/>
    </row>
    <row r="43" spans="2:47" x14ac:dyDescent="0.25">
      <c r="B43" s="2" t="s">
        <v>8</v>
      </c>
      <c r="C43" s="15">
        <v>3153</v>
      </c>
      <c r="D43" s="377">
        <v>3992</v>
      </c>
      <c r="E43" s="377">
        <v>311</v>
      </c>
      <c r="F43" s="377">
        <v>6</v>
      </c>
      <c r="G43" s="377">
        <v>5.1989999999999998</v>
      </c>
      <c r="H43" s="389">
        <v>5415.7819616606475</v>
      </c>
      <c r="I43" s="389">
        <v>9123.1900011101698</v>
      </c>
      <c r="J43" s="389"/>
      <c r="K43" s="389">
        <f t="shared" si="33"/>
        <v>3666.0649552823002</v>
      </c>
      <c r="L43" s="389">
        <f t="shared" si="34"/>
        <v>6132.7228719321311</v>
      </c>
      <c r="M43" s="389">
        <f t="shared" si="12"/>
        <v>0</v>
      </c>
      <c r="N43" s="620"/>
      <c r="O43" s="389"/>
      <c r="P43" s="389">
        <f t="shared" si="14"/>
        <v>3666.0649552823002</v>
      </c>
      <c r="Q43" s="389">
        <f t="shared" si="13"/>
        <v>6132.7228719321311</v>
      </c>
      <c r="R43" s="389">
        <f t="shared" si="35"/>
        <v>0</v>
      </c>
      <c r="S43" s="676">
        <f t="shared" si="16"/>
        <v>9798.7878272144317</v>
      </c>
      <c r="T43" s="9"/>
      <c r="U43" s="9"/>
      <c r="V43" s="421">
        <v>3288.3677995524713</v>
      </c>
      <c r="W43" s="444">
        <v>5787.479931446408</v>
      </c>
      <c r="X43" s="444">
        <v>0</v>
      </c>
      <c r="Y43" s="537">
        <v>9075.8477309988793</v>
      </c>
      <c r="Z43" s="9"/>
      <c r="AA43" s="552">
        <f t="shared" si="17"/>
        <v>377.69715572982886</v>
      </c>
      <c r="AB43" s="552">
        <f t="shared" si="18"/>
        <v>345.24294048572301</v>
      </c>
      <c r="AC43" s="552">
        <f t="shared" si="19"/>
        <v>0</v>
      </c>
      <c r="AD43" s="552">
        <f t="shared" si="20"/>
        <v>722.94009621555233</v>
      </c>
      <c r="AE43" s="9"/>
      <c r="AF43" s="421">
        <v>2315.3095753160364</v>
      </c>
      <c r="AG43" s="444">
        <v>6000.4304910259862</v>
      </c>
      <c r="AH43" s="537">
        <v>8315.7400663420231</v>
      </c>
      <c r="AI43" s="538"/>
      <c r="AJ43" s="552">
        <f t="shared" si="29"/>
        <v>1350.7553799662637</v>
      </c>
      <c r="AK43" s="552">
        <f t="shared" si="30"/>
        <v>132.2923809061449</v>
      </c>
      <c r="AL43" s="552">
        <f t="shared" si="36"/>
        <v>1483.0477608724086</v>
      </c>
      <c r="AM43" s="550"/>
      <c r="AN43" s="421">
        <v>1879.0316994887612</v>
      </c>
      <c r="AO43" s="444">
        <v>5319.2374306216088</v>
      </c>
      <c r="AP43" s="537">
        <v>7198.2691301103696</v>
      </c>
      <c r="AQ43" s="538"/>
      <c r="AR43" s="552">
        <f t="shared" si="31"/>
        <v>1787.033255793539</v>
      </c>
      <c r="AS43" s="552">
        <f t="shared" si="32"/>
        <v>813.48544131052222</v>
      </c>
      <c r="AT43" s="552">
        <f t="shared" si="37"/>
        <v>2600.5186971040621</v>
      </c>
      <c r="AU43" s="550"/>
    </row>
    <row r="44" spans="2:47" ht="15.75" thickBot="1" x14ac:dyDescent="0.3">
      <c r="B44" s="18" t="s">
        <v>42</v>
      </c>
      <c r="C44" s="19">
        <v>3154</v>
      </c>
      <c r="D44" s="642">
        <v>2421</v>
      </c>
      <c r="E44" s="642">
        <v>386</v>
      </c>
      <c r="F44" s="642">
        <v>0</v>
      </c>
      <c r="G44" s="642">
        <v>0</v>
      </c>
      <c r="H44" s="566">
        <v>4087.7485771394095</v>
      </c>
      <c r="I44" s="566">
        <v>21917.073562974714</v>
      </c>
      <c r="J44" s="566"/>
      <c r="K44" s="566">
        <f t="shared" si="33"/>
        <v>2767.0892053528532</v>
      </c>
      <c r="L44" s="566">
        <f t="shared" si="34"/>
        <v>14732.932045602254</v>
      </c>
      <c r="M44" s="566">
        <f t="shared" si="12"/>
        <v>0</v>
      </c>
      <c r="N44" s="621"/>
      <c r="O44" s="566"/>
      <c r="P44" s="566">
        <f t="shared" si="14"/>
        <v>2767.0892053528532</v>
      </c>
      <c r="Q44" s="566">
        <f t="shared" si="13"/>
        <v>14732.932045602254</v>
      </c>
      <c r="R44" s="566">
        <f t="shared" si="35"/>
        <v>0</v>
      </c>
      <c r="S44" s="680">
        <f t="shared" si="16"/>
        <v>17500.021250955106</v>
      </c>
      <c r="T44" s="9"/>
      <c r="U44" s="9"/>
      <c r="V44" s="422">
        <v>2064.3591377331945</v>
      </c>
      <c r="W44" s="445">
        <v>13320.18847768327</v>
      </c>
      <c r="X44" s="595">
        <v>0</v>
      </c>
      <c r="Y44" s="537">
        <v>15384.547615416464</v>
      </c>
      <c r="Z44" s="9"/>
      <c r="AA44" s="552">
        <f t="shared" si="17"/>
        <v>702.73006761965871</v>
      </c>
      <c r="AB44" s="552">
        <f t="shared" si="18"/>
        <v>1412.7435679189839</v>
      </c>
      <c r="AC44" s="552">
        <f t="shared" si="19"/>
        <v>0</v>
      </c>
      <c r="AD44" s="552">
        <f t="shared" si="20"/>
        <v>2115.4736355386412</v>
      </c>
      <c r="AE44" s="9"/>
      <c r="AF44" s="422">
        <v>794.87338879196966</v>
      </c>
      <c r="AG44" s="445">
        <v>11467.313442291845</v>
      </c>
      <c r="AH44" s="537">
        <v>12262.186831083814</v>
      </c>
      <c r="AI44" s="538"/>
      <c r="AJ44" s="552">
        <f t="shared" si="29"/>
        <v>1972.2158165608835</v>
      </c>
      <c r="AK44" s="552">
        <f t="shared" si="30"/>
        <v>3265.6186033104095</v>
      </c>
      <c r="AL44" s="552">
        <f t="shared" si="36"/>
        <v>5237.8344198712912</v>
      </c>
      <c r="AM44" s="550"/>
      <c r="AN44" s="422">
        <v>837.45248344446043</v>
      </c>
      <c r="AO44" s="445">
        <v>9472.733082546918</v>
      </c>
      <c r="AP44" s="537">
        <v>10310.185565991378</v>
      </c>
      <c r="AQ44" s="538"/>
      <c r="AR44" s="552">
        <f t="shared" si="31"/>
        <v>1929.6367219083927</v>
      </c>
      <c r="AS44" s="552">
        <f t="shared" si="32"/>
        <v>5260.1989630553362</v>
      </c>
      <c r="AT44" s="552">
        <f t="shared" si="37"/>
        <v>7189.8356849637275</v>
      </c>
      <c r="AU44" s="550"/>
    </row>
    <row r="45" spans="2:47" x14ac:dyDescent="0.25">
      <c r="B45" s="644" t="s">
        <v>148</v>
      </c>
      <c r="C45" s="645">
        <v>3702</v>
      </c>
      <c r="D45" s="646">
        <v>1589</v>
      </c>
      <c r="E45" s="646">
        <v>-188</v>
      </c>
      <c r="F45" s="646">
        <v>1759</v>
      </c>
      <c r="G45" s="646">
        <v>1067.1959999999999</v>
      </c>
      <c r="H45" s="647">
        <v>15445.865077024182</v>
      </c>
      <c r="I45" s="646">
        <v>6026.6864721278125</v>
      </c>
      <c r="J45" s="647"/>
      <c r="K45" s="647">
        <f t="shared" si="33"/>
        <v>10455.654430654728</v>
      </c>
      <c r="L45" s="647">
        <f t="shared" si="34"/>
        <v>4051.2143192331487</v>
      </c>
      <c r="M45" s="647">
        <f t="shared" si="12"/>
        <v>0</v>
      </c>
      <c r="N45" s="648"/>
      <c r="O45" s="647">
        <v>-647</v>
      </c>
      <c r="P45" s="647">
        <f t="shared" si="14"/>
        <v>10455.654430654728</v>
      </c>
      <c r="Q45" s="647">
        <f t="shared" si="13"/>
        <v>3404.2143192331487</v>
      </c>
      <c r="R45" s="647">
        <f t="shared" ref="R45:R47" si="38">M45</f>
        <v>0</v>
      </c>
      <c r="S45" s="681">
        <f t="shared" si="16"/>
        <v>13859.868749887875</v>
      </c>
      <c r="T45" s="9"/>
      <c r="U45" s="9"/>
      <c r="V45" s="421">
        <v>8755.9466529522688</v>
      </c>
      <c r="W45" s="444">
        <v>700</v>
      </c>
      <c r="X45" s="444">
        <v>0</v>
      </c>
      <c r="Y45" s="537">
        <v>9455.9466529522688</v>
      </c>
      <c r="Z45" s="9"/>
      <c r="AA45" s="552">
        <f t="shared" si="17"/>
        <v>1699.7077777024588</v>
      </c>
      <c r="AB45" s="552">
        <f t="shared" si="18"/>
        <v>2704.2143192331487</v>
      </c>
      <c r="AC45" s="552">
        <f t="shared" si="19"/>
        <v>0</v>
      </c>
      <c r="AD45" s="552">
        <f t="shared" si="20"/>
        <v>4403.9220969356065</v>
      </c>
      <c r="AE45" s="9"/>
      <c r="AF45" s="421">
        <v>7804.2334118263771</v>
      </c>
      <c r="AG45" s="444">
        <v>1000</v>
      </c>
      <c r="AH45" s="537">
        <v>8804.2334118263771</v>
      </c>
      <c r="AI45" s="538"/>
      <c r="AJ45" s="552">
        <f t="shared" si="29"/>
        <v>2651.4210188283505</v>
      </c>
      <c r="AK45" s="552">
        <f t="shared" si="30"/>
        <v>2404.2143192331487</v>
      </c>
      <c r="AL45" s="552">
        <f t="shared" si="36"/>
        <v>5055.6353380614983</v>
      </c>
      <c r="AM45" s="550"/>
      <c r="AN45" s="421">
        <v>7155.4097733408244</v>
      </c>
      <c r="AO45" s="444">
        <v>3000</v>
      </c>
      <c r="AP45" s="537">
        <v>10155.409773340823</v>
      </c>
      <c r="AQ45" s="538"/>
      <c r="AR45" s="552">
        <f t="shared" si="31"/>
        <v>3300.2446573139032</v>
      </c>
      <c r="AS45" s="552">
        <f t="shared" si="32"/>
        <v>404.21431923314867</v>
      </c>
      <c r="AT45" s="552">
        <f t="shared" si="37"/>
        <v>3704.4589765470519</v>
      </c>
      <c r="AU45" s="550"/>
    </row>
    <row r="46" spans="2:47" x14ac:dyDescent="0.25">
      <c r="B46" s="649" t="s">
        <v>25</v>
      </c>
      <c r="C46" s="650">
        <v>3703</v>
      </c>
      <c r="D46" s="651">
        <v>95</v>
      </c>
      <c r="E46" s="651">
        <v>-74</v>
      </c>
      <c r="F46" s="651">
        <v>220</v>
      </c>
      <c r="G46" s="651">
        <v>970.49099999999999</v>
      </c>
      <c r="H46" s="652">
        <v>0</v>
      </c>
      <c r="I46" s="647">
        <v>0</v>
      </c>
      <c r="J46" s="652"/>
      <c r="K46" s="652">
        <f t="shared" si="33"/>
        <v>0</v>
      </c>
      <c r="L46" s="652">
        <f t="shared" si="34"/>
        <v>0</v>
      </c>
      <c r="M46" s="652">
        <f t="shared" si="12"/>
        <v>0</v>
      </c>
      <c r="N46" s="653"/>
      <c r="O46" s="653"/>
      <c r="P46" s="652">
        <f t="shared" si="14"/>
        <v>0</v>
      </c>
      <c r="Q46" s="652">
        <f t="shared" si="13"/>
        <v>0</v>
      </c>
      <c r="R46" s="652">
        <f t="shared" si="38"/>
        <v>0</v>
      </c>
      <c r="S46" s="682">
        <f t="shared" si="16"/>
        <v>0</v>
      </c>
      <c r="T46" s="9"/>
      <c r="U46" s="9"/>
      <c r="V46" s="421">
        <v>11005.393646427989</v>
      </c>
      <c r="W46" s="444">
        <v>610</v>
      </c>
      <c r="X46" s="444">
        <v>0</v>
      </c>
      <c r="Y46" s="537">
        <v>11615.393646427989</v>
      </c>
      <c r="Z46" s="9"/>
      <c r="AA46" s="552">
        <f t="shared" si="17"/>
        <v>-11005.393646427989</v>
      </c>
      <c r="AB46" s="552">
        <f t="shared" si="18"/>
        <v>-610</v>
      </c>
      <c r="AC46" s="552">
        <f t="shared" si="19"/>
        <v>0</v>
      </c>
      <c r="AD46" s="552">
        <f t="shared" si="20"/>
        <v>-11615.393646427989</v>
      </c>
      <c r="AE46" s="9"/>
      <c r="AF46" s="421">
        <v>8782.7859248328296</v>
      </c>
      <c r="AG46" s="444">
        <v>300</v>
      </c>
      <c r="AH46" s="537">
        <v>9082.7859248328296</v>
      </c>
      <c r="AI46" s="538"/>
      <c r="AJ46" s="552">
        <f t="shared" si="29"/>
        <v>-8782.7859248328296</v>
      </c>
      <c r="AK46" s="552">
        <f t="shared" si="30"/>
        <v>-300</v>
      </c>
      <c r="AL46" s="552">
        <f t="shared" si="36"/>
        <v>-9082.7859248328296</v>
      </c>
      <c r="AM46" s="550"/>
      <c r="AN46" s="421">
        <v>7355.1387103226416</v>
      </c>
      <c r="AO46" s="444">
        <v>500</v>
      </c>
      <c r="AP46" s="537">
        <v>7855.1387103226416</v>
      </c>
      <c r="AQ46" s="538"/>
      <c r="AR46" s="552">
        <f t="shared" si="31"/>
        <v>-7355.1387103226416</v>
      </c>
      <c r="AS46" s="552">
        <f t="shared" si="32"/>
        <v>-500</v>
      </c>
      <c r="AT46" s="552">
        <f t="shared" si="37"/>
        <v>-7855.1387103226416</v>
      </c>
      <c r="AU46" s="550"/>
    </row>
    <row r="47" spans="2:47" x14ac:dyDescent="0.25">
      <c r="B47" s="654" t="s">
        <v>151</v>
      </c>
      <c r="C47" s="655">
        <v>3705</v>
      </c>
      <c r="D47" s="651">
        <v>3132</v>
      </c>
      <c r="E47" s="651">
        <v>39</v>
      </c>
      <c r="F47" s="651">
        <v>3368</v>
      </c>
      <c r="G47" s="651">
        <v>1551.684</v>
      </c>
      <c r="H47" s="652">
        <v>14197.825446409393</v>
      </c>
      <c r="I47" s="652">
        <v>8886.2926070428748</v>
      </c>
      <c r="J47" s="652"/>
      <c r="K47" s="652">
        <f t="shared" si="33"/>
        <v>9610.8282568924842</v>
      </c>
      <c r="L47" s="652">
        <f t="shared" si="34"/>
        <v>5973.4774690937793</v>
      </c>
      <c r="M47" s="652">
        <f t="shared" si="12"/>
        <v>0</v>
      </c>
      <c r="N47" s="653"/>
      <c r="O47" s="652">
        <v>1115</v>
      </c>
      <c r="P47" s="652">
        <f t="shared" si="14"/>
        <v>9610.8282568924842</v>
      </c>
      <c r="Q47" s="652">
        <f t="shared" si="13"/>
        <v>7088.4774690937793</v>
      </c>
      <c r="R47" s="652">
        <f t="shared" si="38"/>
        <v>0</v>
      </c>
      <c r="S47" s="682">
        <f t="shared" si="16"/>
        <v>16699.305725986262</v>
      </c>
      <c r="T47" s="9"/>
      <c r="U47" s="9"/>
      <c r="V47" s="421">
        <v>10081.315339362427</v>
      </c>
      <c r="W47" s="444">
        <v>6360.8496514407871</v>
      </c>
      <c r="X47" s="444">
        <v>0</v>
      </c>
      <c r="Y47" s="537">
        <v>16442.164990803212</v>
      </c>
      <c r="Z47" s="9"/>
      <c r="AA47" s="552">
        <f t="shared" si="17"/>
        <v>-470.48708246994283</v>
      </c>
      <c r="AB47" s="552">
        <f t="shared" si="18"/>
        <v>727.62781765299223</v>
      </c>
      <c r="AC47" s="552">
        <f t="shared" si="19"/>
        <v>0</v>
      </c>
      <c r="AD47" s="552">
        <f t="shared" si="20"/>
        <v>257.1407351830494</v>
      </c>
      <c r="AE47" s="9"/>
      <c r="AF47" s="421">
        <v>9552.7073776369325</v>
      </c>
      <c r="AG47" s="444">
        <v>5565.1532673497486</v>
      </c>
      <c r="AH47" s="537">
        <v>15117.860644986682</v>
      </c>
      <c r="AI47" s="538"/>
      <c r="AJ47" s="552">
        <f t="shared" si="29"/>
        <v>58.120879255551699</v>
      </c>
      <c r="AK47" s="552">
        <f t="shared" si="30"/>
        <v>1523.3242017440307</v>
      </c>
      <c r="AL47" s="552">
        <f t="shared" si="36"/>
        <v>1581.4450809995797</v>
      </c>
      <c r="AM47" s="551"/>
      <c r="AN47" s="421">
        <v>9131.9557275356856</v>
      </c>
      <c r="AO47" s="444">
        <v>5182.6965611364849</v>
      </c>
      <c r="AP47" s="537">
        <v>14314.65228867217</v>
      </c>
      <c r="AQ47" s="538"/>
      <c r="AR47" s="552">
        <f t="shared" si="31"/>
        <v>478.87252935679862</v>
      </c>
      <c r="AS47" s="552">
        <f t="shared" si="32"/>
        <v>1905.7809079572944</v>
      </c>
      <c r="AT47" s="552">
        <f t="shared" si="37"/>
        <v>2384.6534373140912</v>
      </c>
      <c r="AU47" s="551"/>
    </row>
    <row r="48" spans="2:47" x14ac:dyDescent="0.25">
      <c r="B48" s="649" t="s">
        <v>19</v>
      </c>
      <c r="C48" s="650">
        <v>3724</v>
      </c>
      <c r="D48" s="651">
        <v>-123</v>
      </c>
      <c r="E48" s="651">
        <v>139</v>
      </c>
      <c r="F48" s="651">
        <v>755</v>
      </c>
      <c r="G48" s="651">
        <v>673.09299999999996</v>
      </c>
      <c r="H48" s="652">
        <v>0</v>
      </c>
      <c r="I48" s="652">
        <v>0</v>
      </c>
      <c r="J48" s="652"/>
      <c r="K48" s="652">
        <f t="shared" si="33"/>
        <v>0</v>
      </c>
      <c r="L48" s="652">
        <f t="shared" si="34"/>
        <v>0</v>
      </c>
      <c r="M48" s="652">
        <f t="shared" si="12"/>
        <v>0</v>
      </c>
      <c r="N48" s="653"/>
      <c r="O48" s="653"/>
      <c r="P48" s="652">
        <f t="shared" si="14"/>
        <v>0</v>
      </c>
      <c r="Q48" s="652">
        <f t="shared" si="13"/>
        <v>0</v>
      </c>
      <c r="R48" s="652">
        <f t="shared" ref="R48:R49" si="39">M48</f>
        <v>0</v>
      </c>
      <c r="S48" s="682">
        <f t="shared" si="16"/>
        <v>0</v>
      </c>
      <c r="T48" s="9"/>
      <c r="U48" s="9"/>
      <c r="V48" s="421">
        <v>4787.749007879389</v>
      </c>
      <c r="W48" s="444">
        <v>0</v>
      </c>
      <c r="X48" s="444">
        <v>0</v>
      </c>
      <c r="Y48" s="537">
        <v>4787.749007879389</v>
      </c>
      <c r="Z48" s="9"/>
      <c r="AA48" s="552">
        <f t="shared" si="17"/>
        <v>-4787.749007879389</v>
      </c>
      <c r="AB48" s="552">
        <f t="shared" si="18"/>
        <v>0</v>
      </c>
      <c r="AC48" s="552">
        <f t="shared" si="19"/>
        <v>0</v>
      </c>
      <c r="AD48" s="552">
        <f t="shared" si="20"/>
        <v>-4787.749007879389</v>
      </c>
      <c r="AE48" s="9"/>
      <c r="AF48" s="421">
        <v>5403.9130707137101</v>
      </c>
      <c r="AG48" s="444">
        <v>0</v>
      </c>
      <c r="AH48" s="537">
        <v>5403.9130707137101</v>
      </c>
      <c r="AI48" s="538"/>
      <c r="AJ48" s="552">
        <f t="shared" si="29"/>
        <v>-5403.9130707137101</v>
      </c>
      <c r="AK48" s="552">
        <f t="shared" si="30"/>
        <v>0</v>
      </c>
      <c r="AL48" s="552">
        <f t="shared" si="36"/>
        <v>-5403.9130707137101</v>
      </c>
      <c r="AM48" s="551"/>
      <c r="AN48" s="421">
        <v>8962.5385711808194</v>
      </c>
      <c r="AO48" s="444">
        <v>729.3</v>
      </c>
      <c r="AP48" s="537">
        <v>9691.8385711808187</v>
      </c>
      <c r="AQ48" s="538"/>
      <c r="AR48" s="552">
        <f t="shared" si="31"/>
        <v>-8962.5385711808194</v>
      </c>
      <c r="AS48" s="552">
        <f t="shared" si="32"/>
        <v>-729.3</v>
      </c>
      <c r="AT48" s="552">
        <f t="shared" si="37"/>
        <v>-9691.8385711808187</v>
      </c>
      <c r="AU48" s="551"/>
    </row>
    <row r="49" spans="2:47" x14ac:dyDescent="0.25">
      <c r="B49" s="649" t="s">
        <v>21</v>
      </c>
      <c r="C49" s="656">
        <v>3726</v>
      </c>
      <c r="D49" s="651">
        <v>1037</v>
      </c>
      <c r="E49" s="651">
        <v>3633</v>
      </c>
      <c r="F49" s="651">
        <v>-50</v>
      </c>
      <c r="G49" s="651">
        <v>504.56599999999997</v>
      </c>
      <c r="H49" s="652">
        <v>0</v>
      </c>
      <c r="I49" s="652">
        <v>0</v>
      </c>
      <c r="J49" s="652"/>
      <c r="K49" s="652">
        <f t="shared" si="33"/>
        <v>0</v>
      </c>
      <c r="L49" s="652">
        <f t="shared" si="34"/>
        <v>0</v>
      </c>
      <c r="M49" s="652">
        <f t="shared" si="12"/>
        <v>0</v>
      </c>
      <c r="N49" s="653"/>
      <c r="O49" s="653"/>
      <c r="P49" s="652">
        <f t="shared" si="14"/>
        <v>0</v>
      </c>
      <c r="Q49" s="652">
        <f t="shared" si="13"/>
        <v>0</v>
      </c>
      <c r="R49" s="652">
        <f t="shared" si="39"/>
        <v>0</v>
      </c>
      <c r="S49" s="682">
        <f t="shared" si="16"/>
        <v>0</v>
      </c>
      <c r="T49" s="9"/>
      <c r="U49" s="9"/>
      <c r="V49" s="421">
        <v>3915.357848305433</v>
      </c>
      <c r="W49" s="444">
        <v>150</v>
      </c>
      <c r="X49" s="444">
        <v>0</v>
      </c>
      <c r="Y49" s="537">
        <v>4065.357848305433</v>
      </c>
      <c r="Z49" s="9"/>
      <c r="AA49" s="552">
        <f t="shared" si="17"/>
        <v>-3915.357848305433</v>
      </c>
      <c r="AB49" s="552">
        <f t="shared" si="18"/>
        <v>-150</v>
      </c>
      <c r="AC49" s="552">
        <f t="shared" si="19"/>
        <v>0</v>
      </c>
      <c r="AD49" s="552">
        <f t="shared" si="20"/>
        <v>-4065.357848305433</v>
      </c>
      <c r="AE49" s="9"/>
      <c r="AF49" s="421">
        <v>3495.6121400187103</v>
      </c>
      <c r="AG49" s="444">
        <v>654</v>
      </c>
      <c r="AH49" s="537">
        <v>4149.6121400187103</v>
      </c>
      <c r="AI49" s="538"/>
      <c r="AJ49" s="552">
        <f t="shared" si="29"/>
        <v>-3495.6121400187103</v>
      </c>
      <c r="AK49" s="552">
        <f t="shared" si="30"/>
        <v>-654</v>
      </c>
      <c r="AL49" s="552">
        <f t="shared" si="36"/>
        <v>-4149.6121400187103</v>
      </c>
      <c r="AM49" s="551"/>
      <c r="AN49" s="421">
        <v>6473.8205937937364</v>
      </c>
      <c r="AO49" s="444">
        <v>966.89999999999986</v>
      </c>
      <c r="AP49" s="537">
        <v>7440.720593793736</v>
      </c>
      <c r="AQ49" s="538"/>
      <c r="AR49" s="552">
        <f t="shared" si="31"/>
        <v>-6473.8205937937364</v>
      </c>
      <c r="AS49" s="552">
        <f t="shared" si="32"/>
        <v>-966.89999999999986</v>
      </c>
      <c r="AT49" s="552">
        <f t="shared" si="37"/>
        <v>-7440.720593793736</v>
      </c>
      <c r="AU49" s="551"/>
    </row>
    <row r="50" spans="2:47" s="61" customFormat="1" ht="15.75" thickBot="1" x14ac:dyDescent="0.3">
      <c r="B50" s="657" t="s">
        <v>182</v>
      </c>
      <c r="C50" s="658">
        <v>3999</v>
      </c>
      <c r="D50" s="659">
        <v>33162</v>
      </c>
      <c r="E50" s="659">
        <v>13562</v>
      </c>
      <c r="F50" s="659">
        <v>8087</v>
      </c>
      <c r="G50" s="663"/>
      <c r="H50" s="660">
        <v>21498</v>
      </c>
      <c r="I50" s="660"/>
      <c r="J50" s="660"/>
      <c r="K50" s="660">
        <f t="shared" si="33"/>
        <v>14552.481057507779</v>
      </c>
      <c r="L50" s="660"/>
      <c r="M50" s="660"/>
      <c r="N50" s="660">
        <f>-1742.943-451.956-1000</f>
        <v>-3194.8989999999999</v>
      </c>
      <c r="O50" s="661"/>
      <c r="P50" s="660">
        <f t="shared" si="14"/>
        <v>11357.58205750778</v>
      </c>
      <c r="Q50" s="660"/>
      <c r="R50" s="660"/>
      <c r="S50" s="683"/>
      <c r="T50" s="9"/>
      <c r="U50" s="9"/>
      <c r="V50" s="548"/>
      <c r="W50" s="639"/>
      <c r="X50" s="639"/>
      <c r="Y50" s="548"/>
      <c r="Z50" s="9"/>
      <c r="AA50" s="640"/>
      <c r="AB50" s="640"/>
      <c r="AC50" s="640"/>
      <c r="AD50" s="640"/>
      <c r="AE50" s="9"/>
      <c r="AF50" s="548"/>
      <c r="AG50" s="639"/>
      <c r="AH50" s="548"/>
      <c r="AI50" s="641"/>
      <c r="AJ50" s="640"/>
      <c r="AK50" s="640"/>
      <c r="AL50" s="640"/>
      <c r="AM50" s="490"/>
      <c r="AN50" s="548"/>
      <c r="AO50" s="639"/>
      <c r="AP50" s="548"/>
      <c r="AQ50" s="641"/>
      <c r="AR50" s="640"/>
      <c r="AS50" s="640"/>
      <c r="AT50" s="640"/>
      <c r="AU50" s="490"/>
    </row>
    <row r="51" spans="2:47" ht="15.75" thickBot="1" x14ac:dyDescent="0.3">
      <c r="B51" s="481" t="s">
        <v>63</v>
      </c>
      <c r="C51" s="482"/>
      <c r="D51" s="635">
        <f>SUM(D17:D49)</f>
        <v>90945</v>
      </c>
      <c r="E51" s="635">
        <f>SUM(E17:E49)</f>
        <v>12637</v>
      </c>
      <c r="F51" s="635">
        <f>SUM(F17:F49)</f>
        <v>25001</v>
      </c>
      <c r="G51" s="631">
        <f>SUM(G17:G49)</f>
        <v>14677.699000000002</v>
      </c>
      <c r="H51" s="631">
        <f t="shared" ref="H51:M51" si="40">SUM(H17:H50)</f>
        <v>320000.13635624346</v>
      </c>
      <c r="I51" s="631">
        <f t="shared" si="40"/>
        <v>344604.93900000001</v>
      </c>
      <c r="J51" s="631">
        <f t="shared" si="40"/>
        <v>6012</v>
      </c>
      <c r="K51" s="631">
        <f t="shared" si="40"/>
        <v>216615.3094578165</v>
      </c>
      <c r="L51" s="631">
        <f t="shared" si="40"/>
        <v>231647.76694652959</v>
      </c>
      <c r="M51" s="631">
        <f t="shared" si="40"/>
        <v>6012</v>
      </c>
      <c r="N51" s="631">
        <f>SUM(N17:N50)</f>
        <v>0</v>
      </c>
      <c r="O51" s="631">
        <f t="shared" ref="O51:T51" si="41">SUM(O17:O49)</f>
        <v>0</v>
      </c>
      <c r="P51" s="631">
        <f t="shared" si="41"/>
        <v>205257.72740030868</v>
      </c>
      <c r="Q51" s="631">
        <f t="shared" si="41"/>
        <v>231647.76694652953</v>
      </c>
      <c r="R51" s="631">
        <f t="shared" si="41"/>
        <v>6012</v>
      </c>
      <c r="S51" s="627">
        <f t="shared" si="41"/>
        <v>442917.49434683839</v>
      </c>
      <c r="T51" s="483">
        <f t="shared" si="41"/>
        <v>412358.31987096416</v>
      </c>
      <c r="U51" s="27"/>
      <c r="V51" s="483">
        <f>SUM(V17:V49)</f>
        <v>185222.10448722637</v>
      </c>
      <c r="W51" s="483">
        <f>SUM(W17:W49)</f>
        <v>210142.81447134397</v>
      </c>
      <c r="X51" s="483"/>
      <c r="Y51" s="483">
        <f>SUM(Y17:Y49)</f>
        <v>395497.71492857049</v>
      </c>
      <c r="Z51" s="483">
        <f>SUM(Z17:Z49)</f>
        <v>349131.10278220213</v>
      </c>
      <c r="AA51" s="483">
        <f>SUM(AA17:AA49)</f>
        <v>20035.622913082381</v>
      </c>
      <c r="AB51" s="483">
        <f>SUM(AB17:AB49)</f>
        <v>21504.95247518555</v>
      </c>
      <c r="AC51" s="483"/>
      <c r="AD51" s="483">
        <f>SUM(AD17:AD49)</f>
        <v>47419.779418267921</v>
      </c>
      <c r="AE51" s="27"/>
      <c r="AF51" s="483">
        <f t="shared" ref="AF51:AU51" si="42">SUM(AF17:AF49)</f>
        <v>149669.79824359671</v>
      </c>
      <c r="AG51" s="483">
        <f t="shared" si="42"/>
        <v>197051.0479056219</v>
      </c>
      <c r="AH51" s="483">
        <f t="shared" si="42"/>
        <v>346720.8461492185</v>
      </c>
      <c r="AI51" s="483">
        <f t="shared" si="42"/>
        <v>304162.44095684029</v>
      </c>
      <c r="AJ51" s="483">
        <f t="shared" si="42"/>
        <v>43880.196652269311</v>
      </c>
      <c r="AK51" s="483">
        <f t="shared" si="42"/>
        <v>30181.719040907712</v>
      </c>
      <c r="AL51" s="483">
        <f t="shared" si="42"/>
        <v>80073.915693177012</v>
      </c>
      <c r="AM51" s="483">
        <f t="shared" si="42"/>
        <v>108195.87891412387</v>
      </c>
      <c r="AN51" s="483">
        <f t="shared" si="42"/>
        <v>156771.95690632597</v>
      </c>
      <c r="AO51" s="483">
        <f t="shared" si="42"/>
        <v>181468.31726199994</v>
      </c>
      <c r="AP51" s="483">
        <f t="shared" si="42"/>
        <v>338240.47416832589</v>
      </c>
      <c r="AQ51" s="483">
        <f t="shared" si="42"/>
        <v>288782.71423101577</v>
      </c>
      <c r="AR51" s="483">
        <f t="shared" si="42"/>
        <v>36778.037989540047</v>
      </c>
      <c r="AS51" s="483">
        <f t="shared" si="42"/>
        <v>45764.449684529602</v>
      </c>
      <c r="AT51" s="483">
        <f t="shared" si="42"/>
        <v>88554.287674069652</v>
      </c>
      <c r="AU51" s="483">
        <f t="shared" si="42"/>
        <v>123575.60563994842</v>
      </c>
    </row>
    <row r="52" spans="2:47" x14ac:dyDescent="0.25">
      <c r="B52" s="6"/>
      <c r="D52" s="398"/>
      <c r="E52" s="398"/>
      <c r="F52" s="398"/>
      <c r="G52" s="398"/>
      <c r="H52" s="488"/>
      <c r="I52" s="488"/>
      <c r="J52" s="488"/>
      <c r="K52" s="488"/>
      <c r="L52" s="488"/>
      <c r="M52" s="488"/>
      <c r="N52" s="488"/>
      <c r="O52" s="488"/>
      <c r="P52" s="9"/>
      <c r="Q52" s="29"/>
      <c r="R52" s="29"/>
      <c r="S52" s="45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M52" s="61"/>
      <c r="AU52" s="30"/>
    </row>
    <row r="53" spans="2:47" x14ac:dyDescent="0.25">
      <c r="B53" s="61"/>
      <c r="D53" s="530"/>
      <c r="E53" s="530"/>
      <c r="F53" s="530"/>
    </row>
    <row r="54" spans="2:47" hidden="1" x14ac:dyDescent="0.25">
      <c r="D54" s="530"/>
      <c r="E54" s="530"/>
      <c r="F54" s="530"/>
      <c r="P54" s="8"/>
      <c r="Q54" s="8"/>
      <c r="R54" s="8"/>
      <c r="S54" s="1"/>
      <c r="AM54" s="61"/>
      <c r="AU54" s="30"/>
    </row>
    <row r="55" spans="2:47" hidden="1" x14ac:dyDescent="0.25">
      <c r="B55" s="364" t="s">
        <v>126</v>
      </c>
      <c r="C55" s="364"/>
      <c r="D55" s="365"/>
      <c r="E55" s="365"/>
      <c r="F55" s="365"/>
      <c r="G55" s="364"/>
      <c r="H55" s="479"/>
      <c r="I55" s="479"/>
      <c r="J55" s="479"/>
      <c r="K55" s="479"/>
      <c r="L55" s="479"/>
      <c r="M55" s="479"/>
      <c r="N55" s="479"/>
      <c r="O55" s="479"/>
      <c r="P55" s="366"/>
      <c r="Q55" s="366"/>
      <c r="R55" s="366"/>
      <c r="S55" s="363"/>
      <c r="AM55" s="61"/>
      <c r="AU55" s="30"/>
    </row>
    <row r="56" spans="2:47" hidden="1" x14ac:dyDescent="0.25">
      <c r="D56" s="530"/>
      <c r="E56" s="530"/>
      <c r="F56" s="530"/>
    </row>
    <row r="57" spans="2:47" x14ac:dyDescent="0.25">
      <c r="B57" s="509"/>
      <c r="C57" s="509"/>
      <c r="D57" s="9"/>
      <c r="E57" s="9"/>
      <c r="F57" s="9"/>
      <c r="H57" s="480"/>
      <c r="I57" s="480"/>
      <c r="J57" s="480"/>
      <c r="K57" s="480"/>
      <c r="L57" s="480"/>
      <c r="M57" s="480"/>
      <c r="N57" s="480"/>
      <c r="O57" s="480"/>
      <c r="P57" s="8"/>
    </row>
    <row r="58" spans="2:47" x14ac:dyDescent="0.25">
      <c r="B58" s="567"/>
      <c r="C58" s="509"/>
      <c r="D58" s="9"/>
      <c r="E58" s="9"/>
      <c r="F58" s="9"/>
      <c r="G58" s="490"/>
      <c r="H58" s="480"/>
      <c r="I58" s="480"/>
      <c r="J58" s="480"/>
      <c r="K58" s="480"/>
    </row>
    <row r="59" spans="2:47" x14ac:dyDescent="0.25">
      <c r="B59" s="568"/>
      <c r="C59" s="509"/>
      <c r="D59" s="9"/>
      <c r="E59" s="9"/>
      <c r="F59" s="9"/>
      <c r="G59" s="490"/>
      <c r="H59" s="480"/>
      <c r="I59" s="480"/>
      <c r="J59" s="480"/>
      <c r="K59" s="480"/>
    </row>
    <row r="60" spans="2:47" x14ac:dyDescent="0.25">
      <c r="B60" s="490"/>
      <c r="C60" s="509"/>
      <c r="D60" s="9"/>
      <c r="E60" s="9"/>
      <c r="F60" s="9"/>
      <c r="G60" s="490"/>
      <c r="H60" s="480"/>
      <c r="I60" s="480"/>
      <c r="J60" s="480"/>
      <c r="K60" s="480"/>
    </row>
    <row r="61" spans="2:47" x14ac:dyDescent="0.25">
      <c r="B61" s="509"/>
      <c r="C61" s="509"/>
      <c r="D61" s="9"/>
      <c r="E61" s="9"/>
      <c r="F61" s="9"/>
      <c r="H61" s="480"/>
      <c r="I61" s="480"/>
      <c r="J61" s="480"/>
      <c r="K61" s="480"/>
    </row>
    <row r="62" spans="2:47" x14ac:dyDescent="0.25">
      <c r="B62" s="509"/>
      <c r="C62" s="509"/>
      <c r="D62" s="9"/>
      <c r="E62" s="9"/>
      <c r="F62" s="9"/>
      <c r="H62" s="480"/>
      <c r="I62" s="480"/>
      <c r="J62" s="480"/>
      <c r="K62" s="480"/>
      <c r="P62" s="8"/>
    </row>
    <row r="63" spans="2:47" x14ac:dyDescent="0.25">
      <c r="B63" s="509"/>
      <c r="C63" s="509"/>
      <c r="D63" s="9"/>
      <c r="E63" s="9"/>
      <c r="F63" s="9"/>
      <c r="H63" s="480"/>
      <c r="I63" s="480"/>
      <c r="J63" s="480"/>
      <c r="K63" s="480"/>
      <c r="P63" s="8"/>
    </row>
    <row r="64" spans="2:47" x14ac:dyDescent="0.25">
      <c r="B64" s="509"/>
      <c r="C64" s="509"/>
      <c r="D64" s="9"/>
      <c r="E64" s="9"/>
      <c r="F64" s="9"/>
      <c r="H64" s="480"/>
      <c r="I64" s="480"/>
      <c r="J64" s="480"/>
      <c r="K64" s="480"/>
    </row>
    <row r="65" spans="2:11" x14ac:dyDescent="0.25">
      <c r="B65" s="509"/>
      <c r="C65" s="509"/>
      <c r="D65" s="9"/>
      <c r="E65" s="9"/>
      <c r="F65" s="9"/>
      <c r="H65" s="480"/>
      <c r="I65" s="480"/>
      <c r="J65" s="480"/>
      <c r="K65" s="480"/>
    </row>
    <row r="66" spans="2:11" x14ac:dyDescent="0.25">
      <c r="B66" s="509"/>
      <c r="C66" s="509"/>
      <c r="D66" s="9"/>
      <c r="E66" s="9"/>
      <c r="F66" s="9"/>
      <c r="H66" s="480"/>
      <c r="I66" s="480"/>
      <c r="J66" s="480"/>
      <c r="K66" s="480"/>
    </row>
    <row r="67" spans="2:11" x14ac:dyDescent="0.25">
      <c r="B67" s="509"/>
      <c r="C67" s="509"/>
      <c r="D67" s="9"/>
      <c r="E67" s="9"/>
      <c r="F67" s="9"/>
      <c r="H67" s="480"/>
      <c r="I67" s="480"/>
      <c r="J67" s="480"/>
      <c r="K67" s="480"/>
    </row>
    <row r="68" spans="2:11" x14ac:dyDescent="0.25">
      <c r="B68" s="509"/>
      <c r="C68" s="509"/>
      <c r="D68" s="9"/>
      <c r="E68" s="9"/>
      <c r="F68" s="9"/>
      <c r="H68" s="480"/>
      <c r="I68" s="480"/>
      <c r="J68" s="480"/>
      <c r="K68" s="480"/>
    </row>
    <row r="69" spans="2:11" x14ac:dyDescent="0.25">
      <c r="B69" s="509"/>
      <c r="C69" s="509"/>
      <c r="D69" s="9"/>
      <c r="E69" s="9"/>
      <c r="F69" s="9"/>
      <c r="H69" s="480"/>
      <c r="I69" s="480"/>
      <c r="J69" s="480"/>
      <c r="K69" s="480"/>
    </row>
    <row r="70" spans="2:11" x14ac:dyDescent="0.25">
      <c r="B70" s="509"/>
      <c r="C70" s="509"/>
      <c r="D70" s="9"/>
      <c r="E70" s="9"/>
      <c r="F70" s="9"/>
      <c r="H70" s="480"/>
      <c r="I70" s="480"/>
      <c r="J70" s="480"/>
      <c r="K70" s="480"/>
    </row>
    <row r="71" spans="2:11" x14ac:dyDescent="0.25">
      <c r="B71" s="509"/>
      <c r="C71" s="509"/>
      <c r="D71" s="9"/>
      <c r="E71" s="9"/>
      <c r="F71" s="9"/>
      <c r="H71" s="480"/>
      <c r="I71" s="480"/>
      <c r="J71" s="480"/>
      <c r="K71" s="480"/>
    </row>
    <row r="72" spans="2:11" x14ac:dyDescent="0.25">
      <c r="B72" s="509"/>
      <c r="C72" s="509"/>
      <c r="D72" s="9"/>
      <c r="E72" s="9"/>
      <c r="F72" s="9"/>
      <c r="H72" s="480"/>
      <c r="I72" s="480"/>
      <c r="J72" s="480"/>
      <c r="K72" s="480"/>
    </row>
    <row r="73" spans="2:11" x14ac:dyDescent="0.25">
      <c r="B73" s="509"/>
      <c r="C73" s="509"/>
      <c r="D73" s="9"/>
      <c r="E73" s="9"/>
      <c r="F73" s="9"/>
      <c r="H73" s="480"/>
      <c r="I73" s="480"/>
      <c r="J73" s="480"/>
      <c r="K73" s="480"/>
    </row>
    <row r="74" spans="2:11" x14ac:dyDescent="0.25">
      <c r="B74" s="509"/>
      <c r="C74" s="509"/>
      <c r="D74" s="9"/>
      <c r="E74" s="9"/>
      <c r="F74" s="9"/>
      <c r="H74" s="480"/>
      <c r="I74" s="480"/>
      <c r="J74" s="480"/>
      <c r="K74" s="480"/>
    </row>
    <row r="75" spans="2:11" x14ac:dyDescent="0.25">
      <c r="B75" s="509"/>
      <c r="C75" s="509"/>
      <c r="D75" s="9"/>
      <c r="E75" s="9"/>
      <c r="F75" s="9"/>
      <c r="H75" s="480"/>
      <c r="I75" s="480"/>
      <c r="J75" s="480"/>
      <c r="K75" s="480"/>
    </row>
    <row r="76" spans="2:11" x14ac:dyDescent="0.25">
      <c r="B76" s="509"/>
      <c r="C76" s="509"/>
      <c r="D76" s="9"/>
      <c r="E76" s="9"/>
      <c r="F76" s="9"/>
      <c r="H76" s="480"/>
      <c r="I76" s="480"/>
      <c r="J76" s="480"/>
      <c r="K76" s="480"/>
    </row>
    <row r="77" spans="2:11" x14ac:dyDescent="0.25">
      <c r="B77" s="509"/>
      <c r="C77" s="509"/>
      <c r="D77" s="9"/>
      <c r="E77" s="9"/>
      <c r="F77" s="9"/>
      <c r="H77" s="480"/>
      <c r="I77" s="480"/>
      <c r="J77" s="480"/>
      <c r="K77" s="480"/>
    </row>
    <row r="78" spans="2:11" x14ac:dyDescent="0.25">
      <c r="B78" s="509"/>
      <c r="C78" s="509"/>
      <c r="D78" s="9"/>
      <c r="E78" s="9"/>
      <c r="F78" s="9"/>
      <c r="H78" s="480"/>
      <c r="I78" s="480"/>
      <c r="J78" s="480"/>
      <c r="K78" s="480"/>
    </row>
    <row r="79" spans="2:11" x14ac:dyDescent="0.25">
      <c r="B79" s="509"/>
      <c r="C79" s="509"/>
      <c r="D79" s="9"/>
      <c r="E79" s="9"/>
      <c r="F79" s="9"/>
      <c r="H79" s="480"/>
      <c r="I79" s="480"/>
      <c r="J79" s="480"/>
      <c r="K79" s="480"/>
    </row>
    <row r="80" spans="2:11" x14ac:dyDescent="0.25">
      <c r="B80" s="509"/>
      <c r="C80" s="509"/>
      <c r="D80" s="9"/>
      <c r="E80" s="9"/>
      <c r="F80" s="9"/>
      <c r="H80" s="480"/>
      <c r="I80" s="480"/>
      <c r="J80" s="480"/>
      <c r="K80" s="480"/>
    </row>
    <row r="81" spans="2:11" x14ac:dyDescent="0.25">
      <c r="B81" s="509"/>
      <c r="C81" s="509"/>
      <c r="D81" s="9"/>
      <c r="E81" s="9"/>
      <c r="F81" s="9"/>
      <c r="H81" s="480"/>
      <c r="I81" s="480"/>
      <c r="J81" s="480"/>
      <c r="K81" s="480"/>
    </row>
    <row r="82" spans="2:11" x14ac:dyDescent="0.25">
      <c r="B82" s="509"/>
      <c r="C82" s="509"/>
      <c r="D82" s="9"/>
      <c r="E82" s="9"/>
      <c r="F82" s="9"/>
      <c r="H82" s="480"/>
      <c r="I82" s="480"/>
      <c r="J82" s="480"/>
      <c r="K82" s="480"/>
    </row>
    <row r="83" spans="2:11" x14ac:dyDescent="0.25">
      <c r="B83" s="509"/>
      <c r="C83" s="509"/>
      <c r="D83" s="9"/>
      <c r="E83" s="9"/>
      <c r="F83" s="9"/>
      <c r="H83" s="480"/>
      <c r="I83" s="480"/>
      <c r="J83" s="480"/>
      <c r="K83" s="480"/>
    </row>
    <row r="84" spans="2:11" x14ac:dyDescent="0.25">
      <c r="B84" s="509"/>
      <c r="C84" s="509"/>
      <c r="D84" s="9"/>
      <c r="E84" s="9"/>
      <c r="F84" s="9"/>
      <c r="H84" s="480"/>
      <c r="I84" s="480"/>
      <c r="J84" s="480"/>
      <c r="K84" s="480"/>
    </row>
    <row r="85" spans="2:11" x14ac:dyDescent="0.25">
      <c r="B85" s="509"/>
      <c r="C85" s="509"/>
      <c r="D85" s="9"/>
      <c r="E85" s="9"/>
      <c r="F85" s="9"/>
      <c r="H85" s="480"/>
      <c r="I85" s="480"/>
      <c r="J85" s="480"/>
      <c r="K85" s="480"/>
    </row>
    <row r="86" spans="2:11" x14ac:dyDescent="0.25">
      <c r="B86" s="509"/>
      <c r="C86" s="509"/>
      <c r="D86" s="9"/>
      <c r="E86" s="9"/>
      <c r="F86" s="9"/>
      <c r="H86" s="480"/>
      <c r="I86" s="480"/>
      <c r="J86" s="480"/>
      <c r="K86" s="480"/>
    </row>
    <row r="87" spans="2:11" x14ac:dyDescent="0.25">
      <c r="B87" s="509"/>
      <c r="C87" s="509"/>
      <c r="D87" s="9"/>
      <c r="E87" s="9"/>
      <c r="F87" s="9"/>
      <c r="H87" s="480"/>
      <c r="I87" s="480"/>
      <c r="J87" s="480"/>
      <c r="K87" s="480"/>
    </row>
    <row r="88" spans="2:11" x14ac:dyDescent="0.25">
      <c r="B88" s="509"/>
      <c r="C88" s="509"/>
      <c r="D88" s="9"/>
      <c r="E88" s="9"/>
      <c r="F88" s="9"/>
      <c r="H88" s="480"/>
      <c r="I88" s="480"/>
      <c r="J88" s="480"/>
      <c r="K88" s="480"/>
    </row>
    <row r="89" spans="2:11" x14ac:dyDescent="0.25">
      <c r="B89" s="509"/>
      <c r="C89" s="509"/>
      <c r="D89" s="9"/>
      <c r="E89" s="9"/>
      <c r="F89" s="9"/>
      <c r="H89" s="480"/>
      <c r="I89" s="480"/>
      <c r="J89" s="480"/>
      <c r="K89" s="480"/>
    </row>
    <row r="90" spans="2:11" x14ac:dyDescent="0.25">
      <c r="B90" s="509"/>
      <c r="C90" s="509"/>
      <c r="D90" s="9"/>
      <c r="E90" s="9"/>
      <c r="F90" s="9"/>
      <c r="H90" s="480"/>
      <c r="I90" s="480"/>
      <c r="J90" s="480"/>
      <c r="K90" s="480"/>
    </row>
    <row r="91" spans="2:11" x14ac:dyDescent="0.25">
      <c r="B91" s="509"/>
      <c r="C91" s="509"/>
      <c r="D91" s="9"/>
      <c r="E91" s="9"/>
      <c r="F91" s="9"/>
      <c r="H91" s="480"/>
      <c r="I91" s="480"/>
      <c r="J91" s="480"/>
      <c r="K91" s="480"/>
    </row>
    <row r="92" spans="2:11" x14ac:dyDescent="0.25">
      <c r="B92" s="509"/>
      <c r="C92" s="509"/>
      <c r="D92" s="9"/>
      <c r="E92" s="9"/>
      <c r="F92" s="9"/>
      <c r="H92" s="480"/>
      <c r="I92" s="480"/>
      <c r="J92" s="480"/>
      <c r="K92" s="480"/>
    </row>
    <row r="93" spans="2:11" x14ac:dyDescent="0.25">
      <c r="B93" s="509"/>
      <c r="C93" s="509"/>
      <c r="D93" s="9"/>
      <c r="E93" s="9"/>
      <c r="F93" s="9"/>
      <c r="H93" s="480"/>
      <c r="I93" s="480"/>
      <c r="J93" s="480"/>
      <c r="K93" s="480"/>
    </row>
    <row r="94" spans="2:11" x14ac:dyDescent="0.25">
      <c r="B94" s="509"/>
      <c r="C94" s="509"/>
      <c r="D94" s="9"/>
      <c r="E94" s="9"/>
      <c r="F94" s="9"/>
      <c r="H94" s="480"/>
      <c r="I94" s="480"/>
      <c r="J94" s="480"/>
      <c r="K94" s="480"/>
    </row>
    <row r="95" spans="2:11" x14ac:dyDescent="0.25">
      <c r="B95" s="509"/>
      <c r="C95" s="509"/>
      <c r="D95" s="9"/>
      <c r="E95" s="9"/>
      <c r="F95" s="9"/>
      <c r="H95" s="480"/>
      <c r="I95" s="480"/>
      <c r="J95" s="480"/>
      <c r="K95" s="480"/>
    </row>
    <row r="96" spans="2:11" x14ac:dyDescent="0.25">
      <c r="B96" s="509"/>
      <c r="C96" s="509"/>
      <c r="D96" s="9"/>
      <c r="E96" s="9"/>
      <c r="F96" s="9"/>
      <c r="H96" s="480"/>
      <c r="I96" s="480"/>
      <c r="J96" s="480"/>
      <c r="K96" s="480"/>
    </row>
    <row r="97" spans="2:11" x14ac:dyDescent="0.25">
      <c r="B97" s="509"/>
      <c r="C97" s="509"/>
      <c r="D97" s="9"/>
      <c r="E97" s="9"/>
      <c r="F97" s="9"/>
      <c r="H97" s="480"/>
      <c r="I97" s="480"/>
      <c r="J97" s="480"/>
      <c r="K97" s="480"/>
    </row>
    <row r="98" spans="2:11" x14ac:dyDescent="0.25">
      <c r="B98" s="509"/>
      <c r="C98" s="509"/>
      <c r="D98" s="9"/>
      <c r="E98" s="9"/>
      <c r="F98" s="9"/>
      <c r="H98" s="480"/>
      <c r="I98" s="480"/>
      <c r="J98" s="480"/>
      <c r="K98" s="480"/>
    </row>
    <row r="99" spans="2:11" x14ac:dyDescent="0.25">
      <c r="B99" s="509"/>
      <c r="C99" s="509"/>
      <c r="D99" s="5"/>
      <c r="E99" s="5"/>
      <c r="F99" s="5"/>
    </row>
    <row r="100" spans="2:11" x14ac:dyDescent="0.25">
      <c r="B100" s="509"/>
      <c r="C100" s="509"/>
      <c r="D100" s="5"/>
      <c r="E100" s="5"/>
      <c r="F100" s="5"/>
    </row>
    <row r="101" spans="2:11" x14ac:dyDescent="0.25">
      <c r="B101" s="509"/>
      <c r="C101" s="509"/>
      <c r="D101" s="5"/>
      <c r="E101" s="5"/>
      <c r="F101" s="5"/>
    </row>
    <row r="102" spans="2:11" x14ac:dyDescent="0.25">
      <c r="B102" s="509"/>
      <c r="C102" s="509"/>
      <c r="D102" s="5"/>
      <c r="E102" s="5"/>
      <c r="F102" s="5"/>
    </row>
    <row r="103" spans="2:11" x14ac:dyDescent="0.25">
      <c r="B103" s="509"/>
      <c r="C103" s="509"/>
      <c r="D103" s="5"/>
      <c r="E103" s="5"/>
      <c r="F103" s="5"/>
    </row>
    <row r="104" spans="2:11" x14ac:dyDescent="0.25">
      <c r="B104" s="509"/>
      <c r="C104" s="509"/>
      <c r="D104" s="5"/>
      <c r="E104" s="5"/>
      <c r="F104" s="5"/>
    </row>
    <row r="105" spans="2:11" x14ac:dyDescent="0.25">
      <c r="B105" s="509"/>
      <c r="C105" s="509"/>
      <c r="D105" s="5"/>
      <c r="E105" s="5"/>
      <c r="F105" s="5"/>
    </row>
    <row r="106" spans="2:11" x14ac:dyDescent="0.25">
      <c r="B106" s="509"/>
      <c r="C106" s="509"/>
      <c r="D106" s="5"/>
      <c r="E106" s="5"/>
      <c r="F106" s="5"/>
    </row>
    <row r="107" spans="2:11" x14ac:dyDescent="0.25">
      <c r="B107" s="509"/>
      <c r="C107" s="509"/>
      <c r="D107" s="5"/>
      <c r="E107" s="5"/>
      <c r="F107" s="5"/>
    </row>
    <row r="108" spans="2:11" x14ac:dyDescent="0.25">
      <c r="B108" s="509"/>
      <c r="C108" s="509"/>
      <c r="D108" s="5"/>
      <c r="E108" s="5"/>
      <c r="F108" s="5"/>
    </row>
    <row r="109" spans="2:11" x14ac:dyDescent="0.25">
      <c r="B109" s="509"/>
      <c r="C109" s="509"/>
      <c r="D109" s="5"/>
      <c r="E109" s="5"/>
      <c r="F109" s="5"/>
    </row>
    <row r="110" spans="2:11" x14ac:dyDescent="0.25">
      <c r="B110" s="509"/>
      <c r="C110" s="509"/>
      <c r="D110" s="5"/>
      <c r="E110" s="5"/>
      <c r="F110" s="5"/>
    </row>
  </sheetData>
  <mergeCells count="21">
    <mergeCell ref="P4:R4"/>
    <mergeCell ref="AF4:AI4"/>
    <mergeCell ref="N4:O4"/>
    <mergeCell ref="AT5:AU5"/>
    <mergeCell ref="AH5:AI5"/>
    <mergeCell ref="AL5:AM5"/>
    <mergeCell ref="AP5:AQ5"/>
    <mergeCell ref="AN4:AQ4"/>
    <mergeCell ref="V4:Z4"/>
    <mergeCell ref="Y5:Z5"/>
    <mergeCell ref="AD5:AE5"/>
    <mergeCell ref="B4:C5"/>
    <mergeCell ref="D4:F4"/>
    <mergeCell ref="B13:C13"/>
    <mergeCell ref="H4:J4"/>
    <mergeCell ref="K4:M4"/>
    <mergeCell ref="B16:C16"/>
    <mergeCell ref="B7:C7"/>
    <mergeCell ref="B10:C10"/>
    <mergeCell ref="B11:C12"/>
    <mergeCell ref="B9:C9"/>
  </mergeCells>
  <pageMargins left="0.7" right="0.7" top="0.78740157499999996" bottom="0.78740157499999996" header="0.3" footer="0.3"/>
  <pageSetup paperSize="8" scale="4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28515625" defaultRowHeight="15" x14ac:dyDescent="0.25"/>
  <cols>
    <col min="1" max="1" width="35.28515625" style="64" customWidth="1"/>
    <col min="2" max="2" width="27.7109375" style="64" customWidth="1"/>
    <col min="3" max="3" width="8.28515625" style="64" customWidth="1"/>
    <col min="4" max="4" width="15.7109375" style="64" customWidth="1"/>
    <col min="5" max="5" width="12.7109375" style="64" hidden="1" customWidth="1"/>
    <col min="6" max="6" width="20.28515625" style="64" customWidth="1"/>
    <col min="7" max="7" width="11.5703125" style="64" customWidth="1"/>
    <col min="8" max="8" width="11.42578125" style="67" customWidth="1"/>
    <col min="9" max="9" width="13.28515625" style="67" customWidth="1"/>
    <col min="10" max="10" width="15.7109375" style="67" customWidth="1"/>
    <col min="11" max="11" width="2.42578125" style="67" hidden="1" customWidth="1"/>
    <col min="12" max="12" width="12.71093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71093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28515625" style="64" hidden="1" customWidth="1"/>
    <col min="22" max="22" width="15.7109375" style="64" hidden="1" customWidth="1"/>
    <col min="23" max="23" width="16.28515625" style="64" hidden="1" customWidth="1"/>
    <col min="24" max="24" width="12" style="64" hidden="1" customWidth="1"/>
    <col min="25" max="25" width="13.7109375" style="64" hidden="1" customWidth="1"/>
    <col min="26" max="27" width="0" style="64" hidden="1" customWidth="1"/>
    <col min="28" max="28" width="9.28515625" style="64"/>
    <col min="29" max="29" width="12.7109375" style="64" customWidth="1"/>
    <col min="30" max="30" width="10.7109375" style="64" customWidth="1"/>
    <col min="31" max="31" width="9.28515625" style="64"/>
    <col min="32" max="32" width="16.7109375" style="64" customWidth="1"/>
    <col min="33" max="33" width="11" style="64" customWidth="1"/>
    <col min="34" max="34" width="9.28515625" style="64"/>
    <col min="35" max="35" width="13.5703125" style="64" customWidth="1"/>
    <col min="36" max="36" width="10.5703125" style="64" customWidth="1"/>
    <col min="37" max="37" width="9.28515625" style="64"/>
    <col min="38" max="38" width="13" style="64" customWidth="1"/>
    <col min="39" max="39" width="10" style="64" customWidth="1"/>
    <col min="40" max="16384" width="9.28515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719" t="s">
        <v>62</v>
      </c>
      <c r="C4" s="721" t="s">
        <v>64</v>
      </c>
      <c r="D4" s="68" t="s">
        <v>45</v>
      </c>
      <c r="E4" s="69" t="s">
        <v>45</v>
      </c>
      <c r="F4" s="69" t="s">
        <v>96</v>
      </c>
      <c r="G4" s="723" t="s">
        <v>57</v>
      </c>
      <c r="H4" s="724"/>
      <c r="I4" s="725" t="s">
        <v>92</v>
      </c>
      <c r="J4" s="726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727" t="s">
        <v>56</v>
      </c>
      <c r="R4" s="728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720"/>
      <c r="C5" s="722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729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732">
        <v>-0.39</v>
      </c>
      <c r="C6" s="734"/>
      <c r="D6" s="736" t="s">
        <v>91</v>
      </c>
      <c r="E6" s="738"/>
      <c r="F6" s="752" t="s">
        <v>83</v>
      </c>
      <c r="G6" s="754"/>
      <c r="H6" s="756"/>
      <c r="I6" s="742"/>
      <c r="J6" s="758" t="s">
        <v>94</v>
      </c>
      <c r="K6" s="95"/>
      <c r="L6" s="730"/>
      <c r="M6" s="95" t="s">
        <v>50</v>
      </c>
      <c r="N6" s="759"/>
      <c r="O6" s="96"/>
      <c r="P6" s="96"/>
      <c r="Q6" s="97" t="s">
        <v>49</v>
      </c>
      <c r="R6" s="95" t="s">
        <v>50</v>
      </c>
      <c r="S6" s="92"/>
      <c r="T6" s="93"/>
      <c r="U6" s="93"/>
      <c r="V6" s="742"/>
      <c r="W6" s="742"/>
    </row>
    <row r="7" spans="1:39" ht="36.75" thickBot="1" x14ac:dyDescent="0.25">
      <c r="B7" s="733"/>
      <c r="C7" s="735"/>
      <c r="D7" s="737"/>
      <c r="E7" s="739"/>
      <c r="F7" s="753"/>
      <c r="G7" s="755"/>
      <c r="H7" s="757"/>
      <c r="I7" s="743"/>
      <c r="J7" s="731"/>
      <c r="K7" s="98">
        <v>-0.25</v>
      </c>
      <c r="L7" s="731"/>
      <c r="M7" s="99" t="s">
        <v>69</v>
      </c>
      <c r="N7" s="760"/>
      <c r="O7" s="100"/>
      <c r="P7" s="100"/>
      <c r="Q7" s="101"/>
      <c r="R7" s="102"/>
      <c r="S7" s="103"/>
      <c r="T7" s="104"/>
      <c r="U7" s="105"/>
      <c r="V7" s="743"/>
      <c r="W7" s="743"/>
    </row>
    <row r="8" spans="1:39" ht="15.75" thickBot="1" x14ac:dyDescent="0.3">
      <c r="B8" s="744" t="s">
        <v>88</v>
      </c>
      <c r="C8" s="745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760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760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725"/>
      <c r="C10" s="726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760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746" t="s">
        <v>86</v>
      </c>
      <c r="C11" s="747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760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748"/>
      <c r="C12" s="749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760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750"/>
      <c r="C13" s="751"/>
      <c r="D13" s="751"/>
      <c r="E13" s="751"/>
      <c r="F13" s="751"/>
      <c r="G13" s="751"/>
      <c r="H13" s="751"/>
      <c r="I13" s="751"/>
      <c r="J13" s="751"/>
      <c r="K13" s="751"/>
      <c r="L13" s="751"/>
      <c r="M13" s="178"/>
      <c r="N13" s="761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740" t="s">
        <v>102</v>
      </c>
      <c r="C14" s="741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28515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28515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28515625" style="61" customWidth="1"/>
    <col min="15" max="15" width="9.28515625" style="400" customWidth="1"/>
    <col min="16" max="16" width="9.7109375" style="400" customWidth="1"/>
    <col min="17" max="17" width="9.28515625" style="400" customWidth="1"/>
    <col min="18" max="18" width="9.42578125" style="400" customWidth="1"/>
    <col min="19" max="19" width="16" style="400" customWidth="1"/>
    <col min="20" max="20" width="9.28515625" style="61"/>
    <col min="21" max="21" width="11.7109375" style="61" customWidth="1"/>
    <col min="22" max="22" width="10.28515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28515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698" t="s">
        <v>62</v>
      </c>
      <c r="C4" s="699"/>
      <c r="D4" s="782" t="s">
        <v>155</v>
      </c>
      <c r="E4" s="784" t="s">
        <v>156</v>
      </c>
      <c r="F4" s="786" t="s">
        <v>154</v>
      </c>
      <c r="G4" s="787"/>
      <c r="H4" s="788" t="s">
        <v>157</v>
      </c>
      <c r="I4" s="789"/>
      <c r="J4" s="790" t="s">
        <v>153</v>
      </c>
      <c r="K4" s="791"/>
      <c r="L4" s="396"/>
      <c r="M4" s="714" t="s">
        <v>158</v>
      </c>
      <c r="N4" s="715"/>
      <c r="O4" s="715"/>
      <c r="P4" s="716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700"/>
      <c r="C5" s="701"/>
      <c r="D5" s="783"/>
      <c r="E5" s="785"/>
      <c r="F5" s="45" t="s">
        <v>84</v>
      </c>
      <c r="G5" s="355" t="s">
        <v>105</v>
      </c>
      <c r="H5" s="55" t="s">
        <v>84</v>
      </c>
      <c r="I5" s="452" t="s">
        <v>105</v>
      </c>
      <c r="J5" s="764"/>
      <c r="K5" s="765"/>
      <c r="L5" s="392"/>
      <c r="M5" s="440" t="s">
        <v>49</v>
      </c>
      <c r="N5" s="428" t="s">
        <v>50</v>
      </c>
      <c r="O5" s="717" t="s">
        <v>132</v>
      </c>
      <c r="P5" s="718"/>
      <c r="Q5" s="401"/>
      <c r="R5" s="401"/>
      <c r="S5" s="401"/>
    </row>
    <row r="6" spans="2:23" ht="15.75" hidden="1" customHeight="1" thickBot="1" x14ac:dyDescent="0.3">
      <c r="B6" s="770">
        <v>-0.39</v>
      </c>
      <c r="C6" s="772"/>
      <c r="D6" s="387"/>
      <c r="E6" s="467"/>
      <c r="F6" s="774"/>
      <c r="G6" s="776"/>
      <c r="H6" s="778"/>
      <c r="I6" s="780" t="s">
        <v>94</v>
      </c>
      <c r="J6" s="766"/>
      <c r="K6" s="767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71"/>
      <c r="C7" s="773"/>
      <c r="D7" s="454"/>
      <c r="E7" s="468"/>
      <c r="F7" s="775"/>
      <c r="G7" s="777"/>
      <c r="H7" s="779"/>
      <c r="I7" s="781"/>
      <c r="J7" s="768"/>
      <c r="K7" s="769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762" t="s">
        <v>88</v>
      </c>
      <c r="C8" s="763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696"/>
      <c r="C10" s="697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690"/>
      <c r="C11" s="691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692" t="s">
        <v>135</v>
      </c>
      <c r="C12" s="693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694"/>
      <c r="C13" s="695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705" t="s">
        <v>104</v>
      </c>
      <c r="C15" s="706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686" t="s">
        <v>129</v>
      </c>
      <c r="C18" s="687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2020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Doc. RNDr. Martin Kubala, Ph.D.</cp:lastModifiedBy>
  <cp:lastPrinted>2020-05-13T06:32:10Z</cp:lastPrinted>
  <dcterms:created xsi:type="dcterms:W3CDTF">2011-10-29T15:42:11Z</dcterms:created>
  <dcterms:modified xsi:type="dcterms:W3CDTF">2021-10-22T08:32:34Z</dcterms:modified>
</cp:coreProperties>
</file>