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legiumDekana\Rozpocet2021\"/>
    </mc:Choice>
  </mc:AlternateContent>
  <bookViews>
    <workbookView xWindow="0" yWindow="0" windowWidth="14400" windowHeight="12000" firstSheet="2" activeTab="2"/>
  </bookViews>
  <sheets>
    <sheet name="NEW" sheetId="2" state="hidden" r:id="rId1"/>
    <sheet name="NEW (2)" sheetId="3" state="hidden" r:id="rId2"/>
    <sheet name="celkový plán 2021" sheetId="4" r:id="rId3"/>
    <sheet name="Komentář ON" sheetId="23" r:id="rId4"/>
    <sheet name="Komentář ostatní N" sheetId="32" r:id="rId5"/>
    <sheet name="3900" sheetId="43" r:id="rId6"/>
    <sheet name="3901" sheetId="34" r:id="rId7"/>
    <sheet name="3903" sheetId="8" r:id="rId8"/>
    <sheet name="3904" sheetId="35" r:id="rId9"/>
    <sheet name="3905" sheetId="29" r:id="rId10"/>
    <sheet name="3906" sheetId="30" r:id="rId11"/>
    <sheet name="3907" sheetId="49" r:id="rId12"/>
    <sheet name="3908" sheetId="10" r:id="rId13"/>
    <sheet name="3911" sheetId="50" r:id="rId14"/>
    <sheet name="3912" sheetId="52" r:id="rId15"/>
    <sheet name="3913" sheetId="51" r:id="rId16"/>
    <sheet name="3915" sheetId="12" r:id="rId17"/>
    <sheet name="3740" sheetId="39" r:id="rId18"/>
    <sheet name="3960" sheetId="11" r:id="rId19"/>
    <sheet name="3210" sheetId="40" r:id="rId20"/>
  </sheets>
  <externalReferences>
    <externalReference r:id="rId21"/>
    <externalReference r:id="rId22"/>
  </externalReferences>
  <definedNames>
    <definedName name="_xlnm.Print_Area" localSheetId="2">'celkový plán 2021'!$B$1:$L$30</definedName>
    <definedName name="_xlnm.Print_Area" localSheetId="3">'Komentář ON'!$B$1:$F$31</definedName>
    <definedName name="_xlnm.Print_Area" localSheetId="4">'Komentář ostatní N'!$B$1:$Q$23</definedName>
    <definedName name="_xlnm.Print_Area" localSheetId="1">'NEW (2)'!$B$1:$K$38</definedName>
  </definedNames>
  <calcPr calcId="162913"/>
</workbook>
</file>

<file path=xl/calcChain.xml><?xml version="1.0" encoding="utf-8"?>
<calcChain xmlns="http://schemas.openxmlformats.org/spreadsheetml/2006/main">
  <c r="C48" i="43" l="1"/>
  <c r="B30" i="43"/>
  <c r="B25" i="43"/>
  <c r="D13" i="43"/>
  <c r="D48" i="43" s="1"/>
  <c r="B13" i="43"/>
  <c r="B48" i="43" s="1"/>
  <c r="D4" i="43"/>
  <c r="D17" i="23" l="1"/>
  <c r="D42" i="39"/>
  <c r="C42" i="39"/>
  <c r="D13" i="39"/>
  <c r="C13" i="39"/>
  <c r="B13" i="39"/>
  <c r="B42" i="39" s="1"/>
  <c r="D4" i="39"/>
  <c r="D19" i="23" l="1"/>
  <c r="D16" i="23" l="1"/>
  <c r="D42" i="12"/>
  <c r="C42" i="12"/>
  <c r="B42" i="12"/>
  <c r="B44" i="12" s="1"/>
  <c r="B33" i="12"/>
  <c r="D30" i="12"/>
  <c r="C30" i="12"/>
  <c r="B30" i="12"/>
  <c r="D25" i="12"/>
  <c r="C25" i="12"/>
  <c r="B25" i="12"/>
  <c r="D21" i="12"/>
  <c r="C21" i="12"/>
  <c r="B21" i="12"/>
  <c r="C13" i="12"/>
  <c r="C44" i="12" s="1"/>
  <c r="B13" i="12"/>
  <c r="D4" i="12"/>
  <c r="D6" i="12" s="1"/>
  <c r="D13" i="12" l="1"/>
  <c r="D44" i="12" s="1"/>
  <c r="D15" i="23"/>
  <c r="D43" i="51"/>
  <c r="G42" i="51"/>
  <c r="F42" i="51"/>
  <c r="E42" i="51"/>
  <c r="B42" i="51"/>
  <c r="E41" i="51"/>
  <c r="D41" i="51"/>
  <c r="D40" i="51"/>
  <c r="D39" i="51"/>
  <c r="D38" i="51"/>
  <c r="D37" i="51"/>
  <c r="D36" i="51"/>
  <c r="D42" i="51" s="1"/>
  <c r="C33" i="51"/>
  <c r="D32" i="51"/>
  <c r="D33" i="51" s="1"/>
  <c r="G30" i="51"/>
  <c r="F30" i="51"/>
  <c r="C30" i="51"/>
  <c r="B30" i="51"/>
  <c r="E29" i="51"/>
  <c r="E30" i="51" s="1"/>
  <c r="E44" i="51" s="1"/>
  <c r="E45" i="51" s="1"/>
  <c r="D29" i="51"/>
  <c r="D30" i="51" s="1"/>
  <c r="G25" i="51"/>
  <c r="F25" i="51"/>
  <c r="E25" i="51"/>
  <c r="D25" i="51"/>
  <c r="B25" i="51"/>
  <c r="B44" i="51" s="1"/>
  <c r="G21" i="51"/>
  <c r="F21" i="51"/>
  <c r="E21" i="51"/>
  <c r="B21" i="51"/>
  <c r="E19" i="51"/>
  <c r="D19" i="51"/>
  <c r="D18" i="51"/>
  <c r="D21" i="51" s="1"/>
  <c r="D17" i="51"/>
  <c r="D16" i="51"/>
  <c r="G13" i="51"/>
  <c r="G44" i="51" s="1"/>
  <c r="E13" i="51"/>
  <c r="C13" i="51"/>
  <c r="C44" i="51" s="1"/>
  <c r="B13" i="51"/>
  <c r="D11" i="51"/>
  <c r="D10" i="51"/>
  <c r="D9" i="51"/>
  <c r="D7" i="51"/>
  <c r="D6" i="51"/>
  <c r="D5" i="51"/>
  <c r="D13" i="51" s="1"/>
  <c r="F4" i="51"/>
  <c r="F13" i="51" s="1"/>
  <c r="D4" i="51"/>
  <c r="M2" i="51"/>
  <c r="F44" i="51" l="1"/>
  <c r="F45" i="51" s="1"/>
  <c r="H13" i="51"/>
  <c r="D44" i="51"/>
  <c r="D45" i="51" s="1"/>
  <c r="D14" i="23"/>
  <c r="F47" i="52"/>
  <c r="D47" i="52"/>
  <c r="C47" i="52"/>
  <c r="B47" i="52"/>
  <c r="F43" i="52"/>
  <c r="E42" i="52"/>
  <c r="D42" i="52"/>
  <c r="F42" i="52" s="1"/>
  <c r="B42" i="52"/>
  <c r="E33" i="52"/>
  <c r="D33" i="52"/>
  <c r="F33" i="52" s="1"/>
  <c r="C33" i="52"/>
  <c r="B33" i="52"/>
  <c r="E30" i="52"/>
  <c r="D30" i="52"/>
  <c r="F30" i="52" s="1"/>
  <c r="C30" i="52"/>
  <c r="B30" i="52"/>
  <c r="E25" i="52"/>
  <c r="F25" i="52" s="1"/>
  <c r="D25" i="52"/>
  <c r="C25" i="52"/>
  <c r="B25" i="52"/>
  <c r="F21" i="52"/>
  <c r="E21" i="52"/>
  <c r="D21" i="52"/>
  <c r="C21" i="52"/>
  <c r="C49" i="52" s="1"/>
  <c r="B21" i="52"/>
  <c r="B49" i="52" s="1"/>
  <c r="D19" i="52"/>
  <c r="E13" i="52"/>
  <c r="B13" i="52"/>
  <c r="E6" i="52"/>
  <c r="D4" i="52"/>
  <c r="D6" i="52" s="1"/>
  <c r="D13" i="52" l="1"/>
  <c r="E49" i="52"/>
  <c r="D49" i="52" l="1"/>
  <c r="D50" i="52" s="1"/>
  <c r="F13" i="52"/>
  <c r="D13" i="23" l="1"/>
  <c r="R46" i="50"/>
  <c r="V44" i="50"/>
  <c r="U44" i="50"/>
  <c r="T44" i="50"/>
  <c r="S44" i="50"/>
  <c r="R44" i="50"/>
  <c r="P44" i="50"/>
  <c r="O44" i="50"/>
  <c r="N44" i="50"/>
  <c r="M44" i="50"/>
  <c r="L44" i="50"/>
  <c r="K44" i="50"/>
  <c r="J44" i="50"/>
  <c r="I44" i="50"/>
  <c r="G44" i="50"/>
  <c r="C44" i="50"/>
  <c r="Q43" i="50"/>
  <c r="Q44" i="50" s="1"/>
  <c r="H43" i="50"/>
  <c r="H44" i="50" s="1"/>
  <c r="G43" i="50"/>
  <c r="B43" i="50"/>
  <c r="V40" i="50"/>
  <c r="U40" i="50"/>
  <c r="T40" i="50"/>
  <c r="S40" i="50"/>
  <c r="R40" i="50"/>
  <c r="Q40" i="50"/>
  <c r="P40" i="50"/>
  <c r="O40" i="50"/>
  <c r="N40" i="50"/>
  <c r="M40" i="50"/>
  <c r="L40" i="50"/>
  <c r="K40" i="50"/>
  <c r="J40" i="50"/>
  <c r="I40" i="50"/>
  <c r="H40" i="50"/>
  <c r="G40" i="50"/>
  <c r="F40" i="50" s="1"/>
  <c r="D40" i="50"/>
  <c r="B40" i="50"/>
  <c r="W40" i="50" s="1"/>
  <c r="G39" i="50"/>
  <c r="F39" i="50"/>
  <c r="C39" i="50"/>
  <c r="C40" i="50" s="1"/>
  <c r="U36" i="50"/>
  <c r="T36" i="50"/>
  <c r="S36" i="50"/>
  <c r="R36" i="50"/>
  <c r="Q36" i="50"/>
  <c r="P36" i="50"/>
  <c r="O36" i="50"/>
  <c r="M36" i="50"/>
  <c r="L36" i="50"/>
  <c r="K36" i="50"/>
  <c r="H36" i="50"/>
  <c r="G36" i="50"/>
  <c r="C36" i="50"/>
  <c r="B36" i="50"/>
  <c r="V35" i="50"/>
  <c r="V36" i="50" s="1"/>
  <c r="P35" i="50"/>
  <c r="O35" i="50"/>
  <c r="N35" i="50"/>
  <c r="N36" i="50" s="1"/>
  <c r="M35" i="50"/>
  <c r="K35" i="50"/>
  <c r="J35" i="50"/>
  <c r="J36" i="50" s="1"/>
  <c r="I35" i="50"/>
  <c r="F35" i="50" s="1"/>
  <c r="H35" i="50"/>
  <c r="G35" i="50"/>
  <c r="D35" i="50"/>
  <c r="D36" i="50" s="1"/>
  <c r="V32" i="50"/>
  <c r="U32" i="50"/>
  <c r="T32" i="50"/>
  <c r="S32" i="50"/>
  <c r="R32" i="50"/>
  <c r="Q32" i="50"/>
  <c r="P32" i="50"/>
  <c r="O32" i="50"/>
  <c r="N32" i="50"/>
  <c r="M32" i="50"/>
  <c r="L32" i="50"/>
  <c r="K32" i="50"/>
  <c r="J32" i="50"/>
  <c r="I32" i="50"/>
  <c r="H32" i="50"/>
  <c r="F32" i="50" s="1"/>
  <c r="W32" i="50" s="1"/>
  <c r="G32" i="50"/>
  <c r="F31" i="50"/>
  <c r="C31" i="50" s="1"/>
  <c r="F30" i="50"/>
  <c r="C30" i="50"/>
  <c r="F29" i="50"/>
  <c r="C29" i="50" s="1"/>
  <c r="F28" i="50"/>
  <c r="C28" i="50"/>
  <c r="V25" i="50"/>
  <c r="U25" i="50"/>
  <c r="T25" i="50"/>
  <c r="S25" i="50"/>
  <c r="R25" i="50"/>
  <c r="Q25" i="50"/>
  <c r="P25" i="50"/>
  <c r="O25" i="50"/>
  <c r="L25" i="50"/>
  <c r="K25" i="50"/>
  <c r="H25" i="50"/>
  <c r="G25" i="50"/>
  <c r="B25" i="50"/>
  <c r="P24" i="50"/>
  <c r="O24" i="50"/>
  <c r="N24" i="50"/>
  <c r="N25" i="50" s="1"/>
  <c r="N46" i="50" s="1"/>
  <c r="M24" i="50"/>
  <c r="M25" i="50" s="1"/>
  <c r="K24" i="50"/>
  <c r="J24" i="50"/>
  <c r="J25" i="50" s="1"/>
  <c r="I24" i="50"/>
  <c r="I25" i="50" s="1"/>
  <c r="F24" i="50"/>
  <c r="C24" i="50" s="1"/>
  <c r="C25" i="50" s="1"/>
  <c r="B24" i="50"/>
  <c r="D24" i="50" s="1"/>
  <c r="D25" i="50" s="1"/>
  <c r="V21" i="50"/>
  <c r="U21" i="50"/>
  <c r="T21" i="50"/>
  <c r="S21" i="50"/>
  <c r="R21" i="50"/>
  <c r="Q21" i="50"/>
  <c r="P21" i="50"/>
  <c r="O21" i="50"/>
  <c r="N21" i="50"/>
  <c r="M21" i="50"/>
  <c r="L21" i="50"/>
  <c r="K21" i="50"/>
  <c r="J21" i="50"/>
  <c r="I21" i="50"/>
  <c r="H21" i="50"/>
  <c r="G21" i="50"/>
  <c r="F21" i="50" s="1"/>
  <c r="D21" i="50"/>
  <c r="C21" i="50"/>
  <c r="B21" i="50"/>
  <c r="F20" i="50"/>
  <c r="U17" i="50"/>
  <c r="T17" i="50"/>
  <c r="S17" i="50"/>
  <c r="S46" i="50" s="1"/>
  <c r="S47" i="50" s="1"/>
  <c r="R17" i="50"/>
  <c r="Q17" i="50"/>
  <c r="O17" i="50"/>
  <c r="O46" i="50" s="1"/>
  <c r="O47" i="50" s="1"/>
  <c r="N17" i="50"/>
  <c r="M17" i="50"/>
  <c r="L17" i="50"/>
  <c r="J17" i="50"/>
  <c r="I17" i="50"/>
  <c r="V16" i="50"/>
  <c r="V17" i="50" s="1"/>
  <c r="V46" i="50" s="1"/>
  <c r="P16" i="50"/>
  <c r="P17" i="50" s="1"/>
  <c r="O16" i="50"/>
  <c r="N16" i="50"/>
  <c r="M16" i="50"/>
  <c r="K16" i="50"/>
  <c r="J16" i="50"/>
  <c r="I16" i="50"/>
  <c r="H16" i="50"/>
  <c r="H17" i="50" s="1"/>
  <c r="G16" i="50"/>
  <c r="F16" i="50" s="1"/>
  <c r="C16" i="50" s="1"/>
  <c r="C17" i="50" s="1"/>
  <c r="B16" i="50"/>
  <c r="B17" i="50" s="1"/>
  <c r="V13" i="50"/>
  <c r="U13" i="50"/>
  <c r="U46" i="50" s="1"/>
  <c r="U47" i="50" s="1"/>
  <c r="T13" i="50"/>
  <c r="T46" i="50" s="1"/>
  <c r="S13" i="50"/>
  <c r="R13" i="50"/>
  <c r="Q13" i="50"/>
  <c r="Q46" i="50" s="1"/>
  <c r="Q47" i="50" s="1"/>
  <c r="P13" i="50"/>
  <c r="P46" i="50" s="1"/>
  <c r="O13" i="50"/>
  <c r="N13" i="50"/>
  <c r="M13" i="50"/>
  <c r="M46" i="50" s="1"/>
  <c r="M47" i="50" s="1"/>
  <c r="L13" i="50"/>
  <c r="L46" i="50" s="1"/>
  <c r="K13" i="50"/>
  <c r="J13" i="50"/>
  <c r="I13" i="50"/>
  <c r="H13" i="50"/>
  <c r="D13" i="50"/>
  <c r="F11" i="50"/>
  <c r="C11" i="50"/>
  <c r="F10" i="50"/>
  <c r="C10" i="50" s="1"/>
  <c r="B10" i="50"/>
  <c r="F9" i="50"/>
  <c r="C9" i="50"/>
  <c r="B9" i="50"/>
  <c r="F8" i="50"/>
  <c r="C8" i="50"/>
  <c r="B8" i="50"/>
  <c r="B13" i="50" s="1"/>
  <c r="H7" i="50"/>
  <c r="G7" i="50"/>
  <c r="F7" i="50"/>
  <c r="C7" i="50"/>
  <c r="F6" i="50"/>
  <c r="C6" i="50"/>
  <c r="H5" i="50"/>
  <c r="G5" i="50"/>
  <c r="D5" i="50"/>
  <c r="B46" i="50" l="1"/>
  <c r="H46" i="50"/>
  <c r="W21" i="50"/>
  <c r="F25" i="50"/>
  <c r="W25" i="50" s="1"/>
  <c r="C32" i="50"/>
  <c r="K46" i="50"/>
  <c r="K47" i="50" s="1"/>
  <c r="J46" i="50"/>
  <c r="F44" i="50"/>
  <c r="W44" i="50" s="1"/>
  <c r="D16" i="50"/>
  <c r="D17" i="50" s="1"/>
  <c r="D46" i="50" s="1"/>
  <c r="G17" i="50"/>
  <c r="F17" i="50" s="1"/>
  <c r="W17" i="50" s="1"/>
  <c r="K17" i="50"/>
  <c r="I36" i="50"/>
  <c r="I46" i="50" s="1"/>
  <c r="I47" i="50" s="1"/>
  <c r="F43" i="50"/>
  <c r="F5" i="50"/>
  <c r="C5" i="50" s="1"/>
  <c r="G13" i="50"/>
  <c r="F13" i="50" s="1"/>
  <c r="W13" i="50" s="1"/>
  <c r="D12" i="23"/>
  <c r="D4" i="10"/>
  <c r="D6" i="10" s="1"/>
  <c r="D13" i="10" s="1"/>
  <c r="D43" i="10" s="1"/>
  <c r="C13" i="50" l="1"/>
  <c r="C46" i="50"/>
  <c r="G46" i="50"/>
  <c r="F36" i="50"/>
  <c r="W36" i="50" s="1"/>
  <c r="D11" i="23"/>
  <c r="D42" i="49"/>
  <c r="C42" i="49"/>
  <c r="B42" i="49"/>
  <c r="B44" i="49" s="1"/>
  <c r="D30" i="49"/>
  <c r="C30" i="49"/>
  <c r="B30" i="49"/>
  <c r="D25" i="49"/>
  <c r="C25" i="49"/>
  <c r="B25" i="49"/>
  <c r="D21" i="49"/>
  <c r="C21" i="49"/>
  <c r="C44" i="49" s="1"/>
  <c r="B21" i="49"/>
  <c r="C13" i="49"/>
  <c r="B13" i="49"/>
  <c r="D4" i="49"/>
  <c r="D6" i="49" s="1"/>
  <c r="G47" i="50" l="1"/>
  <c r="F46" i="50"/>
  <c r="W46" i="50" s="1"/>
  <c r="D13" i="49"/>
  <c r="D44" i="49" s="1"/>
  <c r="D10" i="23" l="1"/>
  <c r="C44" i="29"/>
  <c r="D42" i="29"/>
  <c r="B42" i="29"/>
  <c r="B44" i="29" s="1"/>
  <c r="D30" i="29"/>
  <c r="D44" i="29" s="1"/>
  <c r="B30" i="29"/>
  <c r="D25" i="29"/>
  <c r="B25" i="29"/>
  <c r="D21" i="29"/>
  <c r="B21" i="29"/>
  <c r="B13" i="29"/>
  <c r="D6" i="29"/>
  <c r="D13" i="29" s="1"/>
  <c r="D4" i="29"/>
  <c r="D9" i="23" l="1"/>
  <c r="D8" i="23" l="1"/>
  <c r="D44" i="35"/>
  <c r="C44" i="35"/>
  <c r="B44" i="35"/>
  <c r="B46" i="35" s="1"/>
  <c r="D29" i="35"/>
  <c r="C29" i="35"/>
  <c r="C46" i="35" s="1"/>
  <c r="D25" i="35"/>
  <c r="C25" i="35"/>
  <c r="D21" i="35"/>
  <c r="D4" i="35"/>
  <c r="D6" i="35" s="1"/>
  <c r="D13" i="35" s="1"/>
  <c r="D46" i="35" l="1"/>
  <c r="D7" i="23" l="1"/>
  <c r="C44" i="8"/>
  <c r="D42" i="8"/>
  <c r="B42" i="8"/>
  <c r="B44" i="8" s="1"/>
  <c r="D30" i="8"/>
  <c r="B30" i="8"/>
  <c r="D25" i="8"/>
  <c r="B25" i="8"/>
  <c r="D21" i="8"/>
  <c r="B21" i="8"/>
  <c r="B13" i="8"/>
  <c r="D6" i="8"/>
  <c r="B6" i="8"/>
  <c r="D4" i="8"/>
  <c r="D13" i="8" s="1"/>
  <c r="D44" i="8" l="1"/>
  <c r="D6" i="23"/>
  <c r="D42" i="34"/>
  <c r="C42" i="34"/>
  <c r="B42" i="34"/>
  <c r="D30" i="34"/>
  <c r="C30" i="34"/>
  <c r="C44" i="34" s="1"/>
  <c r="B30" i="34"/>
  <c r="D25" i="34"/>
  <c r="C25" i="34"/>
  <c r="B25" i="34"/>
  <c r="B44" i="34" s="1"/>
  <c r="D21" i="34"/>
  <c r="C21" i="34"/>
  <c r="B21" i="34"/>
  <c r="C13" i="34"/>
  <c r="B13" i="34"/>
  <c r="D4" i="34"/>
  <c r="D6" i="34" s="1"/>
  <c r="D13" i="34" l="1"/>
  <c r="D44" i="34" s="1"/>
  <c r="K20" i="4"/>
  <c r="F6" i="23" l="1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W29" i="32" l="1"/>
  <c r="W26" i="32"/>
  <c r="W25" i="32"/>
  <c r="W24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F6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K30" i="4" l="1"/>
  <c r="L13" i="4"/>
  <c r="M13" i="4" s="1"/>
  <c r="O5" i="32"/>
  <c r="N20" i="32"/>
  <c r="L5" i="32"/>
  <c r="K20" i="32"/>
  <c r="I5" i="32"/>
  <c r="G20" i="32"/>
  <c r="M20" i="32"/>
  <c r="J20" i="32"/>
  <c r="H20" i="32"/>
  <c r="E20" i="32"/>
  <c r="D20" i="32"/>
  <c r="F5" i="32"/>
  <c r="L14" i="4"/>
  <c r="M14" i="4" s="1"/>
  <c r="F5" i="23"/>
  <c r="F20" i="23" s="1"/>
  <c r="E20" i="4"/>
  <c r="F20" i="4"/>
  <c r="G20" i="4"/>
  <c r="H20" i="4"/>
  <c r="I20" i="4"/>
  <c r="J20" i="4"/>
  <c r="D20" i="4"/>
  <c r="L17" i="4"/>
  <c r="M17" i="4" s="1"/>
  <c r="L12" i="4"/>
  <c r="M12" i="4" s="1"/>
  <c r="L5" i="4"/>
  <c r="M5" i="4"/>
  <c r="L10" i="4"/>
  <c r="M10" i="4" s="1"/>
  <c r="L7" i="4"/>
  <c r="M7" i="4"/>
  <c r="L15" i="4"/>
  <c r="M15" i="4" s="1"/>
  <c r="L9" i="4"/>
  <c r="L6" i="4"/>
  <c r="M6" i="4" s="1"/>
  <c r="L11" i="4"/>
  <c r="M11" i="4" s="1"/>
  <c r="L18" i="4"/>
  <c r="M18" i="4" s="1"/>
  <c r="L16" i="4"/>
  <c r="M16" i="4"/>
  <c r="L8" i="4"/>
  <c r="D20" i="23"/>
  <c r="E20" i="23"/>
  <c r="L19" i="4"/>
  <c r="P20" i="4"/>
  <c r="S21" i="32"/>
  <c r="C28" i="2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6" i="3"/>
  <c r="C29" i="4"/>
  <c r="G27" i="4" s="1"/>
  <c r="F29" i="3"/>
  <c r="G29" i="3"/>
  <c r="H29" i="3"/>
  <c r="I29" i="3"/>
  <c r="J29" i="3"/>
  <c r="K34" i="3"/>
  <c r="K36" i="3"/>
  <c r="J36" i="3"/>
  <c r="G36" i="3"/>
  <c r="D36" i="3"/>
  <c r="E29" i="3"/>
  <c r="D29" i="3"/>
  <c r="K29" i="3"/>
  <c r="J29" i="2"/>
  <c r="J32" i="2"/>
  <c r="K17" i="2"/>
  <c r="K15" i="2"/>
  <c r="K14" i="2"/>
  <c r="K21" i="2"/>
  <c r="D32" i="2"/>
  <c r="K6" i="2"/>
  <c r="K7" i="2"/>
  <c r="K8" i="2"/>
  <c r="K9" i="2"/>
  <c r="K11" i="2"/>
  <c r="K12" i="2"/>
  <c r="K13" i="2"/>
  <c r="K16" i="2"/>
  <c r="K18" i="2"/>
  <c r="K19" i="2"/>
  <c r="K20" i="2"/>
  <c r="K22" i="2"/>
  <c r="K23" i="2"/>
  <c r="K5" i="2"/>
  <c r="H25" i="2"/>
  <c r="D25" i="2"/>
  <c r="K10" i="2"/>
  <c r="C23" i="2"/>
  <c r="C22" i="2"/>
  <c r="C20" i="2"/>
  <c r="C19" i="2"/>
  <c r="C18" i="2"/>
  <c r="C16" i="2"/>
  <c r="C13" i="2"/>
  <c r="C12" i="2"/>
  <c r="C11" i="2"/>
  <c r="C10" i="2"/>
  <c r="C9" i="2"/>
  <c r="C8" i="2"/>
  <c r="C7" i="2"/>
  <c r="C6" i="2"/>
  <c r="C5" i="2"/>
  <c r="J25" i="2"/>
  <c r="I25" i="2"/>
  <c r="G25" i="2"/>
  <c r="E25" i="2"/>
  <c r="F25" i="2"/>
  <c r="K25" i="2"/>
  <c r="G32" i="2"/>
  <c r="L20" i="32" l="1"/>
  <c r="O20" i="32"/>
  <c r="F20" i="32"/>
  <c r="I20" i="32"/>
  <c r="L20" i="4"/>
  <c r="M21" i="4" s="1"/>
  <c r="M19" i="4"/>
  <c r="M20" i="4" s="1"/>
  <c r="G25" i="4" l="1"/>
  <c r="G30" i="4" s="1"/>
</calcChain>
</file>

<file path=xl/comments1.xml><?xml version="1.0" encoding="utf-8"?>
<comments xmlns="http://schemas.openxmlformats.org/spreadsheetml/2006/main">
  <authors>
    <author>Ing. Lenka Káňová</author>
  </authors>
  <commentList>
    <comment ref="G29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SWITCHE - 1000
Prodloužení 47 - 350
Investice - 67483
</t>
        </r>
      </text>
    </comment>
  </commentList>
</comments>
</file>

<file path=xl/sharedStrings.xml><?xml version="1.0" encoding="utf-8"?>
<sst xmlns="http://schemas.openxmlformats.org/spreadsheetml/2006/main" count="882" uniqueCount="223">
  <si>
    <t>Osobní náklady (včetně odvodů)</t>
  </si>
  <si>
    <t>Materiál</t>
  </si>
  <si>
    <t>Cestovné</t>
  </si>
  <si>
    <t>Energie</t>
  </si>
  <si>
    <t>Opravy a udržování</t>
  </si>
  <si>
    <t>Ostatní služby</t>
  </si>
  <si>
    <t>Sekretariát, řízení a provoz fakulty</t>
  </si>
  <si>
    <t>Ceny děkana</t>
  </si>
  <si>
    <t>Fondy proděkanů a členové RVŠ</t>
  </si>
  <si>
    <t>Motivační odměny</t>
  </si>
  <si>
    <t>CELKEM</t>
  </si>
  <si>
    <t>Celkem</t>
  </si>
  <si>
    <t>Náklady celkem</t>
  </si>
  <si>
    <t>Odpisy</t>
  </si>
  <si>
    <t>Ekonomické oddělení</t>
  </si>
  <si>
    <t>Personální a mzdové oddělení</t>
  </si>
  <si>
    <t>Oddělení VaV</t>
  </si>
  <si>
    <t>Oddělení projektové podpory</t>
  </si>
  <si>
    <t>Oddělení vnějších a vnitřních vztahů</t>
  </si>
  <si>
    <t>Studijní oddělení</t>
  </si>
  <si>
    <t>Oddělení technické podpory</t>
  </si>
  <si>
    <t>Správa budov Envelopa - 3911 (vč. 3913, 3914 a 3940)</t>
  </si>
  <si>
    <t>Botanická zahrada</t>
  </si>
  <si>
    <t>Školicí středisko Karlov</t>
  </si>
  <si>
    <t>Správa zeleně</t>
  </si>
  <si>
    <t>Kabinet  pedagogické přípravy</t>
  </si>
  <si>
    <t>Kabinet cizích jazyků</t>
  </si>
  <si>
    <t xml:space="preserve">Střediska </t>
  </si>
  <si>
    <t>Podíl na příspěvku</t>
  </si>
  <si>
    <t xml:space="preserve">Režie </t>
  </si>
  <si>
    <t>Investice</t>
  </si>
  <si>
    <t>Energie Envelopa</t>
  </si>
  <si>
    <t>Energie Holice</t>
  </si>
  <si>
    <t xml:space="preserve">Správa budov Holice - 3912 </t>
  </si>
  <si>
    <t>Energie Pevnost</t>
  </si>
  <si>
    <t>Centrum popularizace</t>
  </si>
  <si>
    <t>Hospodaření děkanátu za rok 2016 po oděleních  /11 a /30</t>
  </si>
  <si>
    <t>Náklady 2016</t>
  </si>
  <si>
    <t>Příjmy 2016</t>
  </si>
  <si>
    <t>Příloha 2.5</t>
  </si>
  <si>
    <t>Rezerva děkana 2016</t>
  </si>
  <si>
    <t>Rezerva děkana</t>
  </si>
  <si>
    <t>Hospodaření děkanátu po odděleních 2016</t>
  </si>
  <si>
    <t>*</t>
  </si>
  <si>
    <t>Výměna provozních prostředků děkanátu za FRIM kateder dle jejich potřeb</t>
  </si>
  <si>
    <t>Rozdíl mezi příjmy a náklady byl převeden do FPP za účelem financování investičních akcí v dalších letech, vč. spolufinancování investičních projektů OP VVV. Částka 2 885 000,- dodatečně přidělená PřF z příspěvku MŠMT byla v souladu s usnesením AS PřF převedena do FPP na ponížení záporného zůstatku na středisku 3740 - CP - Dokončení projektu a první rok provozu.</t>
  </si>
  <si>
    <t>Příloha č. 3.5</t>
  </si>
  <si>
    <t xml:space="preserve">Plán hospodaření děkanátu na rok 2017 po odděleních </t>
  </si>
  <si>
    <t>Hospodaření děkanátu na rok 2017 po oděleních  /11 a /30</t>
  </si>
  <si>
    <t>Správa budov Envelopa - technický úsek</t>
  </si>
  <si>
    <t>Správa budov Envelopa - provozní úsek</t>
  </si>
  <si>
    <t>3911, 3913, 3940</t>
  </si>
  <si>
    <t>3916, 3914, 3941</t>
  </si>
  <si>
    <t xml:space="preserve">Správa budov Holice - technický úsek </t>
  </si>
  <si>
    <t>Správa budov Holice - provozní úsek</t>
  </si>
  <si>
    <t>Rezerva děkana 2017</t>
  </si>
  <si>
    <t>Náklady 2017</t>
  </si>
  <si>
    <t>Příjmy 2017</t>
  </si>
  <si>
    <t>Investice budou řešeny formou výměny provozních prostředků děkanátu za FRIM kateder, kapitalizací prostředků ze zdroje 11 u vhodných investičních akcí nebo převodem nevyčerpaných prostředků určených na investice do FPP a následně do FRIMu.</t>
  </si>
  <si>
    <t>Režie</t>
  </si>
  <si>
    <t>Podíl na příspěvku-1.část</t>
  </si>
  <si>
    <t>Podíl na příspěvku-2.část (odhad)</t>
  </si>
  <si>
    <t>Osobní náklady                   (včetně odvodů)</t>
  </si>
  <si>
    <t>Rezervy proděkanů a členové RVŠ</t>
  </si>
  <si>
    <t>Plán investic děkanátu je celkem 40,08 mil. Kč (vybavení a rozvoj), přičemž zdroje pro jeho krytí jsou ve výši 24,08 mil. z prostředků děkanátu (FRIM děkanátu 1,64 mil., FPP děkanátu 15,7 mil. a 6,74 mil. z rozpočtu 2017) a spoluúčast kateder ve výši cca 16 mil. Kč na doplnění chlazení.</t>
  </si>
  <si>
    <t>Spisová služba</t>
  </si>
  <si>
    <t>Skutečnost po přidělení RVO</t>
  </si>
  <si>
    <t>Čerpání děkanátu 2017 - pro senát 4.4.2018</t>
  </si>
  <si>
    <t>Plán</t>
  </si>
  <si>
    <t>Rezerva děkana 2018</t>
  </si>
  <si>
    <t>Středisko</t>
  </si>
  <si>
    <t>Osobní náklady (vč. odvodů)</t>
  </si>
  <si>
    <t>Celkem za děkanát</t>
  </si>
  <si>
    <t>plán zdroj 11</t>
  </si>
  <si>
    <t>plán zdroj 30</t>
  </si>
  <si>
    <t>Plán celkem</t>
  </si>
  <si>
    <t>Srovnání Plán 2017</t>
  </si>
  <si>
    <t>Osobní náklady</t>
  </si>
  <si>
    <t>Mzdy</t>
  </si>
  <si>
    <t>Odměny</t>
  </si>
  <si>
    <t>Zákonné odvody z mezd a odměn</t>
  </si>
  <si>
    <t>DPČ</t>
  </si>
  <si>
    <t>DPP</t>
  </si>
  <si>
    <t>Příspěvky na stravné (menza, stravenky)</t>
  </si>
  <si>
    <t>Profesní lékařské prohlídky</t>
  </si>
  <si>
    <t>Kapitola celkem</t>
  </si>
  <si>
    <t>Kancelářské potřeby</t>
  </si>
  <si>
    <t>Výpočetní technika</t>
  </si>
  <si>
    <t>DHM</t>
  </si>
  <si>
    <t>Jiný materiál</t>
  </si>
  <si>
    <t>Letenky, jízdenky, stravné (diety)</t>
  </si>
  <si>
    <t xml:space="preserve">Opravy a udržování </t>
  </si>
  <si>
    <t>budov,nábytku,výpoč.techniky …….</t>
  </si>
  <si>
    <t>Telefony</t>
  </si>
  <si>
    <t>Poštovné</t>
  </si>
  <si>
    <t>Ostraha</t>
  </si>
  <si>
    <t>Odvoz odpadu</t>
  </si>
  <si>
    <t>Školení</t>
  </si>
  <si>
    <t>Zákonné odvody 34,42% z DPČ</t>
  </si>
  <si>
    <t>atd.</t>
  </si>
  <si>
    <t>Elekřina</t>
  </si>
  <si>
    <t>Teplo</t>
  </si>
  <si>
    <t>Voda</t>
  </si>
  <si>
    <t>Služby</t>
  </si>
  <si>
    <t>Poznámky:</t>
  </si>
  <si>
    <t>odpisy</t>
  </si>
  <si>
    <t>Rozdíl</t>
  </si>
  <si>
    <t>Jiné služby</t>
  </si>
  <si>
    <t>Správa budov - provozní úsek</t>
  </si>
  <si>
    <t>Rezerva děkana 2019</t>
  </si>
  <si>
    <t>Zdůvodnění navýšení ON</t>
  </si>
  <si>
    <t>Středisko: 3210</t>
  </si>
  <si>
    <t>Středisko: 3904</t>
  </si>
  <si>
    <t>SW</t>
  </si>
  <si>
    <t>Smlouvy o dílo</t>
  </si>
  <si>
    <t>Zdůvodnění navýšení ostatní N</t>
  </si>
  <si>
    <t>Správa budov Envelopa</t>
  </si>
  <si>
    <t>Správa budov Holice</t>
  </si>
  <si>
    <t>Středisko: 3960</t>
  </si>
  <si>
    <t>Středisko: 3907</t>
  </si>
  <si>
    <t>Středisko: 3901</t>
  </si>
  <si>
    <t>3911/11;30</t>
  </si>
  <si>
    <t>3911/11,30</t>
  </si>
  <si>
    <t>1)</t>
  </si>
  <si>
    <t>2)</t>
  </si>
  <si>
    <t>Středisko: 3912</t>
  </si>
  <si>
    <t>Středisko: 3913</t>
  </si>
  <si>
    <t>Středisko: 3903</t>
  </si>
  <si>
    <t>Středisko: 3906</t>
  </si>
  <si>
    <t>Středisko: 3908</t>
  </si>
  <si>
    <t xml:space="preserve">Plán nákladů středisek děkanátu v tis. Kč </t>
  </si>
  <si>
    <t>zdůvodnění nárůstu</t>
  </si>
  <si>
    <t>Do N SB (3911 a 3912) začleněny rovněž N, které byly dříve rozpočítávány na střediska (platba za dešťovou vodu).</t>
  </si>
  <si>
    <t>* Investice budou řešeny čerpání FRIM a FPP fakulty (děkanátu) a formou výpůjčky z FRIM a FPP kateder, nebo kapitalizací provozních prostředků.</t>
  </si>
  <si>
    <t>Plán 2020</t>
  </si>
  <si>
    <t>3)</t>
  </si>
  <si>
    <t xml:space="preserve">Ostatní </t>
  </si>
  <si>
    <t xml:space="preserve">Vnitrovýnosy, vnitronáklady apod. </t>
  </si>
  <si>
    <t>Středisko: 3740/11</t>
  </si>
  <si>
    <t>navýšení odměn za praxe; vyšší rozsah praxe</t>
  </si>
  <si>
    <t>Středisko:                                 3900</t>
  </si>
  <si>
    <t>Zákonné odvody 36,42% z DPČ</t>
  </si>
  <si>
    <t>Zákonné odvody 34,22% z DPČ</t>
  </si>
  <si>
    <t>Lékařské prohlídky</t>
  </si>
  <si>
    <t>Zákonné odvody 36,22% z DPČ</t>
  </si>
  <si>
    <t>navýšení mezd, práce přesčas; navýšení hodnoty stravenek</t>
  </si>
  <si>
    <t>ukončení pracovních poměrů</t>
  </si>
  <si>
    <t>Opravy a udržování - většinově se jedná o N SB (ošetření ocelových konstrukcí, opravy technologií apod.)</t>
  </si>
  <si>
    <t>Ostatní služby - většinově se jedná o N SB (nájem kontejneru pro dočasnou vrátnici, navýšení cen nakupovaných služeb - poštovné, ostraha, odpad, úklid po stavebních pracech - výškové a zahradnické práce, revize).</t>
  </si>
  <si>
    <t>Etická komise</t>
  </si>
  <si>
    <t xml:space="preserve">Očekávané výnosy </t>
  </si>
  <si>
    <t>Juniorské granty</t>
  </si>
  <si>
    <t>Plán hospodaření děkanátu na rok 2021 po odděleních v tis. Kč (zdroje 11 a 30)</t>
  </si>
  <si>
    <t>Srovnání Plán 2020</t>
  </si>
  <si>
    <t>Náklady 2021</t>
  </si>
  <si>
    <t>Příjmy 2021</t>
  </si>
  <si>
    <t>Srovnání Plán ON 2020</t>
  </si>
  <si>
    <t>Srovnání Plán Materiál 2020</t>
  </si>
  <si>
    <t>Srovnání Plán Cestovné 2020</t>
  </si>
  <si>
    <t>Srovnání Plán Opravy a udržování 2020</t>
  </si>
  <si>
    <t>Srovnání Plán Ostatní služby 2020</t>
  </si>
  <si>
    <t>Plán nákladů středisek děkanátu 2021  (zdroje 11+30)</t>
  </si>
  <si>
    <t>TIS. KČ</t>
  </si>
  <si>
    <t>Skutečnost 2020</t>
  </si>
  <si>
    <t>Plán 2021</t>
  </si>
  <si>
    <t>Plán nákladů středisek děkanátu 2021 v tis. Kč (zdroje 11+30)</t>
  </si>
  <si>
    <t>Ostatní služby, náklady</t>
  </si>
  <si>
    <t>dr. Stipendia</t>
  </si>
  <si>
    <t>navýšení mezd THP; nový pracovník - analytik</t>
  </si>
  <si>
    <t>Vnitrovýnosy (poplatky za H+P řízení interní)</t>
  </si>
  <si>
    <t>Kurzové ztráty</t>
  </si>
  <si>
    <t>reorganizační změny od 6/2021</t>
  </si>
  <si>
    <t>ukončení PP - odchod CATRIN; reorganizace oddělení 3904 x 3905</t>
  </si>
  <si>
    <t>vč. Náhrad</t>
  </si>
  <si>
    <t>Plyn</t>
  </si>
  <si>
    <t>navýšení mezd - inflace</t>
  </si>
  <si>
    <t>navýšení mezd - inflace; financování části úzvazku z projektu</t>
  </si>
  <si>
    <t>navýšení mezd - inflace; reorganizace oddělení od 6/2021</t>
  </si>
  <si>
    <t>ukončení PP - odchod CATRIN; navýšení mezd - inflace; reorganizace oddělení  3904 x 3905</t>
  </si>
  <si>
    <t>Skutečnost 2020 (zaokr.)</t>
  </si>
  <si>
    <t>VTP</t>
  </si>
  <si>
    <t>1 úvazek; příspěvek pro zahradníka 2.500 Kč/měsíc</t>
  </si>
  <si>
    <t>kancelářské potřeby+Upoint</t>
  </si>
  <si>
    <t>vyrovnání VTP jiné ost.náklady</t>
  </si>
  <si>
    <t>Karlov</t>
  </si>
  <si>
    <t>Z důvodu avizované změny cen u České pošty, nárůst v kapitole poštovné a nárůst v kapitole ostraha, vzhledem k rostoucím cenám i za služby.</t>
  </si>
  <si>
    <t>Osobní náklady v roce 2020 nevyčerpány z důvodu omezení výuky a v souvislosti s tím k potřebě menšího počtu uklízeček, při obnovení výuky bude třeba opět počet uklízeček navýšit do původního stavu.</t>
  </si>
  <si>
    <t>nový pracovník, navýšení mezd - inflace</t>
  </si>
  <si>
    <t>pořízení NB pro zajištění výuky online (bude-li to možné, bude přeúčtováno na zdroj 16)</t>
  </si>
  <si>
    <t>navýšení mezd - inflace; úvazky financovány z projektu</t>
  </si>
  <si>
    <t>tis. Kč</t>
  </si>
  <si>
    <t>Prostředky z VTP</t>
  </si>
  <si>
    <t>CELKEM včetně prostředků z VTP</t>
  </si>
  <si>
    <t>navýšení mezd - inflace; větší objem práce - VTP; nový pracovník</t>
  </si>
  <si>
    <t>financování stipendií (dříve stipendijní fond)</t>
  </si>
  <si>
    <t>Komentář k navýšení: Celkem se v kapitolách materiál, cestovné, opravy, ostatní služby navýšil plán 2021 oproti plánu 2020 o 1.515 tis. Kč. Podrobněji jsou potřeby  popsány v jednotlivých listech oddělení, níže je uvedeno celkové zdůvodnění jen u podstatných kapitol.</t>
  </si>
  <si>
    <t>pořízení plotru</t>
  </si>
  <si>
    <t>Materiál - narůst cen běžného spotřebního materiálu, pořizování DHM (NB pro online výuku - KCJ), pořízení plotru (oddělení vnějších a vnitřních vztahů)</t>
  </si>
  <si>
    <t xml:space="preserve">navýšení mezd - inflace, zvýšení kvalifikace; </t>
  </si>
  <si>
    <t>Čerpání k 31.12.2020 - dle hodnot SAP k 29.1.2021</t>
  </si>
  <si>
    <t>SUMA</t>
  </si>
  <si>
    <t>993100541 Envelopa</t>
  </si>
  <si>
    <t>993100551 Pevnost</t>
  </si>
  <si>
    <t>993100561 VLD</t>
  </si>
  <si>
    <t xml:space="preserve">993100571 SLO </t>
  </si>
  <si>
    <t>993100581 Energie</t>
  </si>
  <si>
    <t>993100671 Dezinfekce</t>
  </si>
  <si>
    <t>9931006121 Ostatní N2, odpady</t>
  </si>
  <si>
    <t>Zbytek k čerpání</t>
  </si>
  <si>
    <t>4)</t>
  </si>
  <si>
    <t>Dotace</t>
  </si>
  <si>
    <t>1) Navýšení mzdových nákladů je způsobeno navýšením úvazků (1,4) na oddělení (zaměstnanec na správu AV techniky a zaměstnanec na provádění zákoných revizí na drobných elektrospotřebičích). U pol. Příspěvky na stravné (menza, stravenky) není zohledněna dovolená zaměstnanců.</t>
  </si>
  <si>
    <t>2) Nákup nových 4ks PC sestav (stolní PC, monitor, klávesnice, myš) do učeben v 1.NP a 2.NP (125 tis. Kč), doplnění/ nahrazení 2ks NTB na vrátnici objektu 17. listopadu 12, které budou k dispozici vyučujícím (60 ti. Kč).</t>
  </si>
  <si>
    <t>3) Navýšení nákladů z důvodu doplnění opravy zatékání okny (cca 900 tis. Kč) - při silných dešťových srážkách dochází k zatékání okny do místností č. 2.040, 2.054, 3.017, 3.019, 3.022, 3.033, 3.041, 4.010, 4.051, 5.055, 5.056 (v rámci realizace dojde k demontáži kamenného obkladu nad okny, oprava popř. výměna hydroizolace, opětovná montáž kamenného obkladu a celková kontrola těsnosti v okolí oken), výměny čistících zón při vstupu do objektu (cca 150 tis. Kč).
Nově od 1. 12. 2020 zajištování správy objektu Botanické zahrady PřF UP - navýšení nákladů na opravy a udržování ve výši 150 tis. Kč.</t>
  </si>
  <si>
    <t>4) Nově od 1. 12. 2020 zajištování správy objektu Botanické zahrady PřF UP - navýšení nákladů na služby ve výši 25 tis. Kč.</t>
  </si>
  <si>
    <t>Skutečnost 2019</t>
  </si>
  <si>
    <t>Středisko: 3915</t>
  </si>
  <si>
    <t>Středisko: 3911</t>
  </si>
  <si>
    <t>Střediska CATRIN</t>
  </si>
  <si>
    <t>Střediska děkanátu</t>
  </si>
  <si>
    <t>Vyrovnání CATRIN /30</t>
  </si>
  <si>
    <t>Vyrovnání CATRIN FPP</t>
  </si>
  <si>
    <t>Transformační 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</si>
</sst>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#,##0.00000"/>
    <numFmt numFmtId="167" formatCode="_-* #,##0_-;\-* #,##0_-;_-* &quot;-&quot;??_-;_-@_-"/>
    <numFmt numFmtId="168" formatCode="0.0000"/>
    <numFmt numFmtId="169" formatCode="#,##0.0000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auto="1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5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629">
    <xf numFmtId="0" fontId="0" fillId="0" borderId="0" xfId="0"/>
    <xf numFmtId="0" fontId="0" fillId="0" borderId="0" xfId="0" applyAlignment="1"/>
    <xf numFmtId="165" fontId="0" fillId="0" borderId="0" xfId="0" applyNumberFormat="1" applyFill="1"/>
    <xf numFmtId="165" fontId="0" fillId="0" borderId="0" xfId="0" applyNumberFormat="1"/>
    <xf numFmtId="0" fontId="0" fillId="0" borderId="0" xfId="0" applyFill="1"/>
    <xf numFmtId="165" fontId="2" fillId="0" borderId="0" xfId="0" applyNumberFormat="1" applyFont="1"/>
    <xf numFmtId="0" fontId="2" fillId="0" borderId="0" xfId="0" applyFont="1"/>
    <xf numFmtId="165" fontId="2" fillId="0" borderId="0" xfId="0" applyNumberFormat="1" applyFont="1" applyFill="1"/>
    <xf numFmtId="0" fontId="2" fillId="3" borderId="6" xfId="0" applyFont="1" applyFill="1" applyBorder="1"/>
    <xf numFmtId="0" fontId="0" fillId="3" borderId="7" xfId="0" applyFill="1" applyBorder="1"/>
    <xf numFmtId="3" fontId="0" fillId="3" borderId="8" xfId="0" applyNumberFormat="1" applyFill="1" applyBorder="1"/>
    <xf numFmtId="3" fontId="0" fillId="0" borderId="0" xfId="0" applyNumberForma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0" fillId="0" borderId="1" xfId="0" applyBorder="1"/>
    <xf numFmtId="0" fontId="4" fillId="0" borderId="0" xfId="0" applyFont="1" applyFill="1" applyBorder="1"/>
    <xf numFmtId="0" fontId="0" fillId="0" borderId="3" xfId="0" applyBorder="1"/>
    <xf numFmtId="0" fontId="2" fillId="2" borderId="3" xfId="0" applyFont="1" applyFill="1" applyBorder="1"/>
    <xf numFmtId="0" fontId="0" fillId="0" borderId="0" xfId="0" applyBorder="1"/>
    <xf numFmtId="0" fontId="2" fillId="0" borderId="6" xfId="0" applyFont="1" applyBorder="1"/>
    <xf numFmtId="0" fontId="2" fillId="0" borderId="7" xfId="0" applyFont="1" applyBorder="1"/>
    <xf numFmtId="0" fontId="2" fillId="2" borderId="6" xfId="0" applyFont="1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3" fontId="2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3" fontId="6" fillId="0" borderId="0" xfId="0" applyNumberFormat="1" applyFont="1" applyFill="1" applyBorder="1"/>
    <xf numFmtId="0" fontId="2" fillId="0" borderId="0" xfId="0" applyFont="1" applyFill="1"/>
    <xf numFmtId="9" fontId="2" fillId="0" borderId="0" xfId="1" applyFont="1" applyFill="1"/>
    <xf numFmtId="0" fontId="2" fillId="2" borderId="1" xfId="0" applyFont="1" applyFill="1" applyBorder="1"/>
    <xf numFmtId="0" fontId="0" fillId="0" borderId="2" xfId="0" applyFill="1" applyBorder="1"/>
    <xf numFmtId="3" fontId="0" fillId="0" borderId="11" xfId="0" applyNumberFormat="1" applyFill="1" applyBorder="1"/>
    <xf numFmtId="3" fontId="0" fillId="0" borderId="13" xfId="0" applyNumberFormat="1" applyFill="1" applyBorder="1"/>
    <xf numFmtId="3" fontId="2" fillId="0" borderId="8" xfId="0" applyNumberFormat="1" applyFont="1" applyFill="1" applyBorder="1"/>
    <xf numFmtId="3" fontId="0" fillId="0" borderId="10" xfId="0" applyNumberFormat="1" applyFill="1" applyBorder="1"/>
    <xf numFmtId="3" fontId="0" fillId="0" borderId="4" xfId="0" applyNumberFormat="1" applyFill="1" applyBorder="1"/>
    <xf numFmtId="3" fontId="0" fillId="0" borderId="5" xfId="0" applyNumberFormat="1" applyFill="1" applyBorder="1"/>
    <xf numFmtId="3" fontId="0" fillId="0" borderId="12" xfId="0" applyNumberFormat="1" applyFill="1" applyBorder="1"/>
    <xf numFmtId="0" fontId="0" fillId="2" borderId="11" xfId="0" applyFill="1" applyBorder="1"/>
    <xf numFmtId="3" fontId="2" fillId="2" borderId="10" xfId="0" applyNumberFormat="1" applyFont="1" applyFill="1" applyBorder="1"/>
    <xf numFmtId="3" fontId="2" fillId="2" borderId="7" xfId="0" applyNumberFormat="1" applyFont="1" applyFill="1" applyBorder="1"/>
    <xf numFmtId="3" fontId="2" fillId="2" borderId="11" xfId="0" applyNumberFormat="1" applyFont="1" applyFill="1" applyBorder="1"/>
    <xf numFmtId="0" fontId="3" fillId="0" borderId="0" xfId="0" applyFont="1" applyAlignment="1">
      <alignment horizontal="center" vertical="center" wrapText="1"/>
    </xf>
    <xf numFmtId="165" fontId="2" fillId="2" borderId="3" xfId="0" applyNumberFormat="1" applyFont="1" applyFill="1" applyBorder="1"/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9" fontId="0" fillId="0" borderId="0" xfId="1" applyFont="1" applyFill="1"/>
    <xf numFmtId="3" fontId="0" fillId="0" borderId="0" xfId="0" applyNumberFormat="1"/>
    <xf numFmtId="3" fontId="7" fillId="2" borderId="10" xfId="0" applyNumberFormat="1" applyFont="1" applyFill="1" applyBorder="1"/>
    <xf numFmtId="3" fontId="6" fillId="0" borderId="2" xfId="0" applyNumberFormat="1" applyFont="1" applyFill="1" applyBorder="1"/>
    <xf numFmtId="0" fontId="8" fillId="0" borderId="0" xfId="0" applyFon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right" vertical="top"/>
    </xf>
    <xf numFmtId="3" fontId="7" fillId="2" borderId="11" xfId="0" applyNumberFormat="1" applyFont="1" applyFill="1" applyBorder="1"/>
    <xf numFmtId="0" fontId="0" fillId="0" borderId="0" xfId="0" applyFont="1" applyAlignment="1">
      <alignment horizontal="right" vertical="center"/>
    </xf>
    <xf numFmtId="3" fontId="2" fillId="0" borderId="0" xfId="0" applyNumberFormat="1" applyFont="1" applyBorder="1"/>
    <xf numFmtId="0" fontId="0" fillId="0" borderId="0" xfId="0" applyFill="1" applyBorder="1" applyAlignment="1">
      <alignment horizontal="right"/>
    </xf>
    <xf numFmtId="3" fontId="2" fillId="0" borderId="0" xfId="0" applyNumberFormat="1" applyFont="1"/>
    <xf numFmtId="0" fontId="8" fillId="2" borderId="0" xfId="0" applyFont="1" applyFill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3" fontId="6" fillId="0" borderId="12" xfId="0" applyNumberFormat="1" applyFont="1" applyFill="1" applyBorder="1"/>
    <xf numFmtId="0" fontId="8" fillId="0" borderId="0" xfId="0" applyFont="1" applyFill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0" xfId="0" applyFont="1" applyFill="1" applyBorder="1"/>
    <xf numFmtId="3" fontId="6" fillId="0" borderId="17" xfId="0" applyNumberFormat="1" applyFont="1" applyFill="1" applyBorder="1"/>
    <xf numFmtId="0" fontId="9" fillId="0" borderId="0" xfId="0" applyFont="1"/>
    <xf numFmtId="0" fontId="7" fillId="3" borderId="7" xfId="0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0" fillId="2" borderId="5" xfId="0" applyFill="1" applyBorder="1"/>
    <xf numFmtId="3" fontId="7" fillId="2" borderId="12" xfId="0" applyNumberFormat="1" applyFont="1" applyFill="1" applyBorder="1"/>
    <xf numFmtId="3" fontId="2" fillId="2" borderId="12" xfId="0" applyNumberFormat="1" applyFont="1" applyFill="1" applyBorder="1"/>
    <xf numFmtId="3" fontId="0" fillId="0" borderId="0" xfId="0" applyNumberFormat="1" applyFill="1"/>
    <xf numFmtId="0" fontId="7" fillId="4" borderId="7" xfId="0" applyFont="1" applyFill="1" applyBorder="1" applyAlignment="1">
      <alignment horizontal="center" vertical="center" wrapText="1"/>
    </xf>
    <xf numFmtId="0" fontId="14" fillId="2" borderId="6" xfId="0" applyFont="1" applyFill="1" applyBorder="1"/>
    <xf numFmtId="3" fontId="0" fillId="5" borderId="19" xfId="0" applyNumberFormat="1" applyFill="1" applyBorder="1"/>
    <xf numFmtId="3" fontId="0" fillId="5" borderId="25" xfId="0" applyNumberFormat="1" applyFill="1" applyBorder="1"/>
    <xf numFmtId="4" fontId="0" fillId="0" borderId="0" xfId="0" applyNumberFormat="1"/>
    <xf numFmtId="0" fontId="2" fillId="9" borderId="6" xfId="0" applyFont="1" applyFill="1" applyBorder="1" applyAlignment="1">
      <alignment horizontal="left"/>
    </xf>
    <xf numFmtId="3" fontId="2" fillId="9" borderId="8" xfId="0" applyNumberFormat="1" applyFont="1" applyFill="1" applyBorder="1" applyAlignment="1">
      <alignment horizontal="left"/>
    </xf>
    <xf numFmtId="3" fontId="2" fillId="9" borderId="8" xfId="0" applyNumberFormat="1" applyFont="1" applyFill="1" applyBorder="1" applyAlignment="1">
      <alignment horizontal="right"/>
    </xf>
    <xf numFmtId="0" fontId="2" fillId="9" borderId="27" xfId="0" applyFont="1" applyFill="1" applyBorder="1"/>
    <xf numFmtId="3" fontId="2" fillId="9" borderId="15" xfId="0" applyNumberFormat="1" applyFont="1" applyFill="1" applyBorder="1"/>
    <xf numFmtId="0" fontId="0" fillId="0" borderId="0" xfId="0" applyFill="1" applyBorder="1" applyAlignment="1">
      <alignment horizontal="left" vertical="top"/>
    </xf>
    <xf numFmtId="0" fontId="0" fillId="10" borderId="24" xfId="0" applyFill="1" applyBorder="1"/>
    <xf numFmtId="3" fontId="0" fillId="10" borderId="25" xfId="0" applyNumberFormat="1" applyFill="1" applyBorder="1"/>
    <xf numFmtId="3" fontId="2" fillId="10" borderId="8" xfId="0" applyNumberFormat="1" applyFont="1" applyFill="1" applyBorder="1"/>
    <xf numFmtId="3" fontId="0" fillId="0" borderId="11" xfId="0" applyNumberFormat="1" applyBorder="1"/>
    <xf numFmtId="3" fontId="0" fillId="6" borderId="17" xfId="0" applyNumberFormat="1" applyFill="1" applyBorder="1"/>
    <xf numFmtId="3" fontId="0" fillId="0" borderId="0" xfId="0" applyNumberFormat="1" applyBorder="1"/>
    <xf numFmtId="3" fontId="2" fillId="7" borderId="7" xfId="0" applyNumberFormat="1" applyFont="1" applyFill="1" applyBorder="1" applyAlignment="1">
      <alignment horizontal="center"/>
    </xf>
    <xf numFmtId="3" fontId="2" fillId="8" borderId="7" xfId="0" applyNumberFormat="1" applyFont="1" applyFill="1" applyBorder="1" applyAlignment="1">
      <alignment horizontal="left"/>
    </xf>
    <xf numFmtId="3" fontId="0" fillId="9" borderId="8" xfId="0" applyNumberFormat="1" applyFill="1" applyBorder="1"/>
    <xf numFmtId="3" fontId="0" fillId="9" borderId="12" xfId="0" applyNumberFormat="1" applyFill="1" applyBorder="1"/>
    <xf numFmtId="3" fontId="2" fillId="10" borderId="7" xfId="0" applyNumberFormat="1" applyFont="1" applyFill="1" applyBorder="1" applyAlignment="1">
      <alignment horizontal="left"/>
    </xf>
    <xf numFmtId="3" fontId="0" fillId="5" borderId="22" xfId="0" applyNumberFormat="1" applyFill="1" applyBorder="1" applyAlignment="1">
      <alignment horizontal="right"/>
    </xf>
    <xf numFmtId="4" fontId="2" fillId="0" borderId="13" xfId="0" applyNumberFormat="1" applyFont="1" applyBorder="1"/>
    <xf numFmtId="4" fontId="2" fillId="6" borderId="8" xfId="0" applyNumberFormat="1" applyFont="1" applyFill="1" applyBorder="1" applyAlignment="1">
      <alignment horizontal="center"/>
    </xf>
    <xf numFmtId="4" fontId="2" fillId="7" borderId="8" xfId="0" applyNumberFormat="1" applyFont="1" applyFill="1" applyBorder="1" applyAlignment="1">
      <alignment horizontal="center"/>
    </xf>
    <xf numFmtId="4" fontId="2" fillId="8" borderId="8" xfId="0" applyNumberFormat="1" applyFont="1" applyFill="1" applyBorder="1" applyAlignment="1">
      <alignment horizontal="left"/>
    </xf>
    <xf numFmtId="4" fontId="2" fillId="10" borderId="8" xfId="0" applyNumberFormat="1" applyFont="1" applyFill="1" applyBorder="1" applyAlignment="1">
      <alignment horizontal="left"/>
    </xf>
    <xf numFmtId="4" fontId="0" fillId="0" borderId="9" xfId="0" applyNumberFormat="1" applyBorder="1"/>
    <xf numFmtId="0" fontId="0" fillId="0" borderId="0" xfId="0" applyBorder="1" applyAlignment="1"/>
    <xf numFmtId="3" fontId="2" fillId="0" borderId="13" xfId="0" applyNumberFormat="1" applyFont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3" fontId="6" fillId="2" borderId="17" xfId="0" applyNumberFormat="1" applyFont="1" applyFill="1" applyBorder="1"/>
    <xf numFmtId="3" fontId="2" fillId="2" borderId="8" xfId="0" applyNumberFormat="1" applyFont="1" applyFill="1" applyBorder="1"/>
    <xf numFmtId="3" fontId="6" fillId="4" borderId="17" xfId="0" applyNumberFormat="1" applyFont="1" applyFill="1" applyBorder="1"/>
    <xf numFmtId="3" fontId="2" fillId="4" borderId="8" xfId="0" applyNumberFormat="1" applyFont="1" applyFill="1" applyBorder="1"/>
    <xf numFmtId="3" fontId="2" fillId="4" borderId="7" xfId="0" applyNumberFormat="1" applyFont="1" applyFill="1" applyBorder="1"/>
    <xf numFmtId="3" fontId="6" fillId="3" borderId="17" xfId="0" applyNumberFormat="1" applyFont="1" applyFill="1" applyBorder="1"/>
    <xf numFmtId="3" fontId="2" fillId="3" borderId="8" xfId="0" applyNumberFormat="1" applyFont="1" applyFill="1" applyBorder="1"/>
    <xf numFmtId="0" fontId="2" fillId="9" borderId="12" xfId="0" applyFont="1" applyFill="1" applyBorder="1"/>
    <xf numFmtId="0" fontId="0" fillId="10" borderId="21" xfId="0" applyFill="1" applyBorder="1" applyAlignment="1">
      <alignment vertical="center"/>
    </xf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0" fillId="0" borderId="34" xfId="0" applyFont="1" applyFill="1" applyBorder="1"/>
    <xf numFmtId="0" fontId="0" fillId="0" borderId="36" xfId="0" applyFont="1" applyFill="1" applyBorder="1"/>
    <xf numFmtId="0" fontId="0" fillId="0" borderId="36" xfId="0" applyFont="1" applyFill="1" applyBorder="1" applyAlignment="1"/>
    <xf numFmtId="0" fontId="0" fillId="0" borderId="30" xfId="0" applyFont="1" applyFill="1" applyBorder="1"/>
    <xf numFmtId="0" fontId="0" fillId="0" borderId="35" xfId="0" applyFont="1" applyFill="1" applyBorder="1" applyAlignment="1">
      <alignment horizontal="right"/>
    </xf>
    <xf numFmtId="0" fontId="0" fillId="0" borderId="37" xfId="0" applyFont="1" applyFill="1" applyBorder="1"/>
    <xf numFmtId="0" fontId="0" fillId="0" borderId="37" xfId="0" applyFont="1" applyFill="1" applyBorder="1" applyAlignment="1">
      <alignment horizontal="right"/>
    </xf>
    <xf numFmtId="0" fontId="6" fillId="0" borderId="37" xfId="0" applyFont="1" applyFill="1" applyBorder="1" applyAlignment="1">
      <alignment horizontal="right"/>
    </xf>
    <xf numFmtId="0" fontId="0" fillId="0" borderId="32" xfId="0" applyFont="1" applyFill="1" applyBorder="1"/>
    <xf numFmtId="3" fontId="6" fillId="0" borderId="22" xfId="0" applyNumberFormat="1" applyFont="1" applyFill="1" applyBorder="1"/>
    <xf numFmtId="3" fontId="0" fillId="0" borderId="22" xfId="0" applyNumberFormat="1" applyFont="1" applyFill="1" applyBorder="1"/>
    <xf numFmtId="3" fontId="6" fillId="0" borderId="28" xfId="0" applyNumberFormat="1" applyFont="1" applyFill="1" applyBorder="1"/>
    <xf numFmtId="3" fontId="0" fillId="0" borderId="17" xfId="0" applyNumberFormat="1" applyFill="1" applyBorder="1"/>
    <xf numFmtId="3" fontId="0" fillId="0" borderId="22" xfId="0" applyNumberFormat="1" applyFill="1" applyBorder="1"/>
    <xf numFmtId="3" fontId="0" fillId="0" borderId="28" xfId="0" applyNumberFormat="1" applyFill="1" applyBorder="1"/>
    <xf numFmtId="3" fontId="0" fillId="0" borderId="8" xfId="0" applyNumberFormat="1" applyFill="1" applyBorder="1"/>
    <xf numFmtId="3" fontId="0" fillId="0" borderId="16" xfId="0" applyNumberFormat="1" applyFill="1" applyBorder="1"/>
    <xf numFmtId="3" fontId="0" fillId="0" borderId="23" xfId="0" applyNumberFormat="1" applyFill="1" applyBorder="1"/>
    <xf numFmtId="3" fontId="0" fillId="0" borderId="29" xfId="0" applyNumberFormat="1" applyFill="1" applyBorder="1"/>
    <xf numFmtId="0" fontId="17" fillId="0" borderId="0" xfId="0" applyFont="1"/>
    <xf numFmtId="0" fontId="18" fillId="0" borderId="0" xfId="0" applyFont="1" applyAlignment="1">
      <alignment vertical="center"/>
    </xf>
    <xf numFmtId="3" fontId="16" fillId="0" borderId="28" xfId="0" applyNumberFormat="1" applyFont="1" applyFill="1" applyBorder="1"/>
    <xf numFmtId="3" fontId="16" fillId="0" borderId="17" xfId="0" applyNumberFormat="1" applyFont="1" applyFill="1" applyBorder="1"/>
    <xf numFmtId="3" fontId="16" fillId="0" borderId="22" xfId="0" applyNumberFormat="1" applyFont="1" applyFill="1" applyBorder="1"/>
    <xf numFmtId="0" fontId="2" fillId="0" borderId="6" xfId="0" applyFont="1" applyBorder="1" applyAlignment="1">
      <alignment horizontal="left"/>
    </xf>
    <xf numFmtId="0" fontId="0" fillId="9" borderId="12" xfId="0" applyFill="1" applyBorder="1"/>
    <xf numFmtId="0" fontId="2" fillId="0" borderId="27" xfId="0" applyFont="1" applyBorder="1"/>
    <xf numFmtId="3" fontId="6" fillId="5" borderId="23" xfId="0" applyNumberFormat="1" applyFont="1" applyFill="1" applyBorder="1"/>
    <xf numFmtId="3" fontId="0" fillId="5" borderId="22" xfId="0" applyNumberFormat="1" applyFill="1" applyBorder="1"/>
    <xf numFmtId="0" fontId="2" fillId="5" borderId="8" xfId="0" applyFont="1" applyFill="1" applyBorder="1" applyAlignment="1">
      <alignment horizontal="left"/>
    </xf>
    <xf numFmtId="0" fontId="2" fillId="0" borderId="11" xfId="0" applyFont="1" applyBorder="1"/>
    <xf numFmtId="3" fontId="2" fillId="6" borderId="7" xfId="0" applyNumberFormat="1" applyFont="1" applyFill="1" applyBorder="1" applyAlignment="1">
      <alignment horizontal="center"/>
    </xf>
    <xf numFmtId="0" fontId="2" fillId="5" borderId="8" xfId="0" applyFont="1" applyFill="1" applyBorder="1"/>
    <xf numFmtId="0" fontId="2" fillId="6" borderId="8" xfId="0" applyFont="1" applyFill="1" applyBorder="1" applyAlignment="1">
      <alignment horizontal="left"/>
    </xf>
    <xf numFmtId="0" fontId="0" fillId="6" borderId="19" xfId="0" applyFill="1" applyBorder="1"/>
    <xf numFmtId="0" fontId="0" fillId="6" borderId="22" xfId="0" applyFill="1" applyBorder="1"/>
    <xf numFmtId="3" fontId="0" fillId="5" borderId="26" xfId="0" applyNumberFormat="1" applyFill="1" applyBorder="1"/>
    <xf numFmtId="2" fontId="0" fillId="0" borderId="0" xfId="0" applyNumberFormat="1"/>
    <xf numFmtId="3" fontId="0" fillId="6" borderId="26" xfId="0" applyNumberFormat="1" applyFill="1" applyBorder="1"/>
    <xf numFmtId="3" fontId="0" fillId="10" borderId="26" xfId="0" applyNumberFormat="1" applyFill="1" applyBorder="1"/>
    <xf numFmtId="3" fontId="0" fillId="0" borderId="9" xfId="0" applyNumberFormat="1" applyBorder="1"/>
    <xf numFmtId="3" fontId="0" fillId="0" borderId="10" xfId="0" applyNumberFormat="1" applyBorder="1"/>
    <xf numFmtId="3" fontId="2" fillId="7" borderId="7" xfId="0" applyNumberFormat="1" applyFont="1" applyFill="1" applyBorder="1"/>
    <xf numFmtId="3" fontId="2" fillId="8" borderId="7" xfId="0" applyNumberFormat="1" applyFont="1" applyFill="1" applyBorder="1"/>
    <xf numFmtId="3" fontId="2" fillId="10" borderId="29" xfId="0" applyNumberFormat="1" applyFont="1" applyFill="1" applyBorder="1"/>
    <xf numFmtId="3" fontId="0" fillId="5" borderId="17" xfId="0" applyNumberFormat="1" applyFill="1" applyBorder="1"/>
    <xf numFmtId="3" fontId="6" fillId="5" borderId="22" xfId="0" applyNumberFormat="1" applyFont="1" applyFill="1" applyBorder="1"/>
    <xf numFmtId="3" fontId="0" fillId="10" borderId="17" xfId="0" applyNumberFormat="1" applyFill="1" applyBorder="1"/>
    <xf numFmtId="0" fontId="10" fillId="0" borderId="0" xfId="0" applyFont="1"/>
    <xf numFmtId="0" fontId="7" fillId="4" borderId="9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3" fontId="2" fillId="3" borderId="15" xfId="0" applyNumberFormat="1" applyFont="1" applyFill="1" applyBorder="1"/>
    <xf numFmtId="3" fontId="2" fillId="4" borderId="15" xfId="0" applyNumberFormat="1" applyFont="1" applyFill="1" applyBorder="1"/>
    <xf numFmtId="49" fontId="2" fillId="0" borderId="15" xfId="0" applyNumberFormat="1" applyFont="1" applyBorder="1"/>
    <xf numFmtId="3" fontId="0" fillId="4" borderId="16" xfId="0" applyNumberFormat="1" applyFill="1" applyBorder="1"/>
    <xf numFmtId="3" fontId="0" fillId="4" borderId="23" xfId="0" applyNumberFormat="1" applyFill="1" applyBorder="1"/>
    <xf numFmtId="3" fontId="0" fillId="4" borderId="29" xfId="0" applyNumberFormat="1" applyFill="1" applyBorder="1"/>
    <xf numFmtId="3" fontId="6" fillId="2" borderId="22" xfId="0" applyNumberFormat="1" applyFont="1" applyFill="1" applyBorder="1"/>
    <xf numFmtId="3" fontId="6" fillId="2" borderId="28" xfId="0" applyNumberFormat="1" applyFont="1" applyFill="1" applyBorder="1"/>
    <xf numFmtId="49" fontId="0" fillId="0" borderId="23" xfId="0" applyNumberFormat="1" applyBorder="1"/>
    <xf numFmtId="49" fontId="0" fillId="0" borderId="29" xfId="0" applyNumberFormat="1" applyBorder="1"/>
    <xf numFmtId="3" fontId="7" fillId="3" borderId="33" xfId="0" applyNumberFormat="1" applyFont="1" applyFill="1" applyBorder="1"/>
    <xf numFmtId="3" fontId="7" fillId="3" borderId="21" xfId="0" applyNumberFormat="1" applyFont="1" applyFill="1" applyBorder="1"/>
    <xf numFmtId="3" fontId="7" fillId="3" borderId="27" xfId="0" applyNumberFormat="1" applyFont="1" applyFill="1" applyBorder="1"/>
    <xf numFmtId="0" fontId="0" fillId="0" borderId="0" xfId="0"/>
    <xf numFmtId="0" fontId="14" fillId="0" borderId="0" xfId="0" applyFont="1"/>
    <xf numFmtId="0" fontId="0" fillId="0" borderId="0" xfId="0" applyBorder="1"/>
    <xf numFmtId="0" fontId="2" fillId="0" borderId="3" xfId="0" applyFont="1" applyBorder="1"/>
    <xf numFmtId="0" fontId="0" fillId="0" borderId="11" xfId="0" applyBorder="1"/>
    <xf numFmtId="3" fontId="0" fillId="0" borderId="0" xfId="0" applyNumberFormat="1"/>
    <xf numFmtId="0" fontId="12" fillId="0" borderId="0" xfId="0" applyFont="1" applyFill="1" applyBorder="1"/>
    <xf numFmtId="3" fontId="0" fillId="0" borderId="11" xfId="0" applyNumberFormat="1" applyFill="1" applyBorder="1"/>
    <xf numFmtId="0" fontId="2" fillId="6" borderId="6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center"/>
    </xf>
    <xf numFmtId="0" fontId="0" fillId="0" borderId="11" xfId="0" applyFill="1" applyBorder="1"/>
    <xf numFmtId="0" fontId="2" fillId="8" borderId="6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center"/>
    </xf>
    <xf numFmtId="0" fontId="13" fillId="0" borderId="0" xfId="0" applyFont="1"/>
    <xf numFmtId="0" fontId="2" fillId="8" borderId="7" xfId="0" applyFont="1" applyFill="1" applyBorder="1" applyAlignment="1">
      <alignment horizontal="left"/>
    </xf>
    <xf numFmtId="0" fontId="2" fillId="10" borderId="6" xfId="0" applyFont="1" applyFill="1" applyBorder="1" applyAlignment="1">
      <alignment horizontal="left"/>
    </xf>
    <xf numFmtId="0" fontId="2" fillId="10" borderId="7" xfId="0" applyFont="1" applyFill="1" applyBorder="1" applyAlignment="1">
      <alignment horizontal="left"/>
    </xf>
    <xf numFmtId="3" fontId="0" fillId="5" borderId="20" xfId="0" applyNumberFormat="1" applyFill="1" applyBorder="1"/>
    <xf numFmtId="3" fontId="0" fillId="5" borderId="23" xfId="0" applyNumberFormat="1" applyFill="1" applyBorder="1"/>
    <xf numFmtId="0" fontId="0" fillId="5" borderId="23" xfId="0" applyFill="1" applyBorder="1"/>
    <xf numFmtId="0" fontId="0" fillId="5" borderId="26" xfId="0" applyFill="1" applyBorder="1"/>
    <xf numFmtId="3" fontId="2" fillId="5" borderId="7" xfId="0" applyNumberFormat="1" applyFont="1" applyFill="1" applyBorder="1"/>
    <xf numFmtId="3" fontId="0" fillId="6" borderId="20" xfId="0" applyNumberFormat="1" applyFill="1" applyBorder="1"/>
    <xf numFmtId="3" fontId="0" fillId="6" borderId="23" xfId="0" applyNumberFormat="1" applyFill="1" applyBorder="1"/>
    <xf numFmtId="0" fontId="0" fillId="6" borderId="26" xfId="0" applyFill="1" applyBorder="1"/>
    <xf numFmtId="3" fontId="0" fillId="10" borderId="20" xfId="0" applyNumberFormat="1" applyFill="1" applyBorder="1"/>
    <xf numFmtId="3" fontId="0" fillId="10" borderId="23" xfId="0" applyNumberFormat="1" applyFill="1" applyBorder="1"/>
    <xf numFmtId="0" fontId="0" fillId="10" borderId="23" xfId="0" applyFill="1" applyBorder="1"/>
    <xf numFmtId="3" fontId="0" fillId="10" borderId="29" xfId="0" applyNumberFormat="1" applyFill="1" applyBorder="1"/>
    <xf numFmtId="3" fontId="14" fillId="9" borderId="7" xfId="0" applyNumberFormat="1" applyFont="1" applyFill="1" applyBorder="1"/>
    <xf numFmtId="0" fontId="2" fillId="5" borderId="8" xfId="0" applyFont="1" applyFill="1" applyBorder="1" applyAlignment="1">
      <alignment horizontal="center"/>
    </xf>
    <xf numFmtId="0" fontId="0" fillId="5" borderId="19" xfId="0" applyFill="1" applyBorder="1"/>
    <xf numFmtId="0" fontId="0" fillId="5" borderId="22" xfId="0" applyFill="1" applyBorder="1"/>
    <xf numFmtId="0" fontId="0" fillId="5" borderId="25" xfId="0" applyFill="1" applyBorder="1"/>
    <xf numFmtId="0" fontId="2" fillId="0" borderId="13" xfId="0" applyFont="1" applyBorder="1"/>
    <xf numFmtId="0" fontId="0" fillId="5" borderId="18" xfId="0" applyFill="1" applyBorder="1"/>
    <xf numFmtId="0" fontId="0" fillId="5" borderId="21" xfId="0" applyFill="1" applyBorder="1"/>
    <xf numFmtId="0" fontId="0" fillId="5" borderId="24" xfId="0" applyFill="1" applyBorder="1"/>
    <xf numFmtId="0" fontId="2" fillId="5" borderId="6" xfId="0" applyFont="1" applyFill="1" applyBorder="1"/>
    <xf numFmtId="0" fontId="0" fillId="6" borderId="18" xfId="0" applyFill="1" applyBorder="1"/>
    <xf numFmtId="0" fontId="0" fillId="6" borderId="21" xfId="0" applyFill="1" applyBorder="1"/>
    <xf numFmtId="0" fontId="0" fillId="6" borderId="24" xfId="0" applyFill="1" applyBorder="1"/>
    <xf numFmtId="0" fontId="0" fillId="10" borderId="21" xfId="0" applyFill="1" applyBorder="1"/>
    <xf numFmtId="0" fontId="2" fillId="10" borderId="27" xfId="0" applyFont="1" applyFill="1" applyBorder="1"/>
    <xf numFmtId="0" fontId="14" fillId="9" borderId="6" xfId="0" applyFont="1" applyFill="1" applyBorder="1"/>
    <xf numFmtId="0" fontId="14" fillId="0" borderId="8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0" fillId="9" borderId="8" xfId="0" applyFill="1" applyBorder="1"/>
    <xf numFmtId="0" fontId="0" fillId="7" borderId="3" xfId="0" applyFill="1" applyBorder="1"/>
    <xf numFmtId="3" fontId="0" fillId="7" borderId="11" xfId="0" applyNumberFormat="1" applyFill="1" applyBorder="1"/>
    <xf numFmtId="0" fontId="2" fillId="7" borderId="6" xfId="0" applyFont="1" applyFill="1" applyBorder="1"/>
    <xf numFmtId="0" fontId="0" fillId="8" borderId="3" xfId="0" applyFill="1" applyBorder="1"/>
    <xf numFmtId="3" fontId="0" fillId="8" borderId="11" xfId="0" applyNumberFormat="1" applyFill="1" applyBorder="1"/>
    <xf numFmtId="0" fontId="2" fillId="8" borderId="6" xfId="0" applyFont="1" applyFill="1" applyBorder="1"/>
    <xf numFmtId="0" fontId="2" fillId="6" borderId="6" xfId="0" applyFont="1" applyFill="1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3" fontId="14" fillId="9" borderId="8" xfId="0" applyNumberFormat="1" applyFont="1" applyFill="1" applyBorder="1"/>
    <xf numFmtId="3" fontId="2" fillId="6" borderId="8" xfId="0" applyNumberFormat="1" applyFont="1" applyFill="1" applyBorder="1" applyAlignment="1">
      <alignment horizontal="center"/>
    </xf>
    <xf numFmtId="3" fontId="0" fillId="6" borderId="19" xfId="0" applyNumberFormat="1" applyFill="1" applyBorder="1"/>
    <xf numFmtId="3" fontId="0" fillId="6" borderId="22" xfId="0" applyNumberFormat="1" applyFill="1" applyBorder="1"/>
    <xf numFmtId="3" fontId="0" fillId="6" borderId="25" xfId="0" applyNumberFormat="1" applyFill="1" applyBorder="1"/>
    <xf numFmtId="3" fontId="2" fillId="6" borderId="8" xfId="0" applyNumberFormat="1" applyFont="1" applyFill="1" applyBorder="1"/>
    <xf numFmtId="3" fontId="2" fillId="0" borderId="13" xfId="0" applyNumberFormat="1" applyFont="1" applyBorder="1"/>
    <xf numFmtId="3" fontId="2" fillId="7" borderId="8" xfId="0" applyNumberFormat="1" applyFont="1" applyFill="1" applyBorder="1" applyAlignment="1">
      <alignment horizontal="center"/>
    </xf>
    <xf numFmtId="3" fontId="0" fillId="7" borderId="13" xfId="0" applyNumberFormat="1" applyFill="1" applyBorder="1"/>
    <xf numFmtId="3" fontId="2" fillId="7" borderId="8" xfId="0" applyNumberFormat="1" applyFont="1" applyFill="1" applyBorder="1"/>
    <xf numFmtId="3" fontId="2" fillId="8" borderId="8" xfId="0" applyNumberFormat="1" applyFont="1" applyFill="1" applyBorder="1" applyAlignment="1">
      <alignment horizontal="left"/>
    </xf>
    <xf numFmtId="3" fontId="0" fillId="8" borderId="13" xfId="0" applyNumberFormat="1" applyFill="1" applyBorder="1"/>
    <xf numFmtId="3" fontId="2" fillId="8" borderId="8" xfId="0" applyNumberFormat="1" applyFont="1" applyFill="1" applyBorder="1"/>
    <xf numFmtId="3" fontId="2" fillId="10" borderId="8" xfId="0" applyNumberFormat="1" applyFont="1" applyFill="1" applyBorder="1" applyAlignment="1">
      <alignment horizontal="left"/>
    </xf>
    <xf numFmtId="3" fontId="0" fillId="10" borderId="19" xfId="0" applyNumberFormat="1" applyFill="1" applyBorder="1"/>
    <xf numFmtId="3" fontId="0" fillId="10" borderId="22" xfId="0" applyNumberFormat="1" applyFill="1" applyBorder="1"/>
    <xf numFmtId="3" fontId="2" fillId="10" borderId="28" xfId="0" applyNumberFormat="1" applyFont="1" applyFill="1" applyBorder="1"/>
    <xf numFmtId="3" fontId="2" fillId="6" borderId="7" xfId="0" applyNumberFormat="1" applyFont="1" applyFill="1" applyBorder="1"/>
    <xf numFmtId="3" fontId="2" fillId="5" borderId="8" xfId="0" applyNumberFormat="1" applyFont="1" applyFill="1" applyBorder="1"/>
    <xf numFmtId="0" fontId="0" fillId="5" borderId="28" xfId="0" applyFill="1" applyBorder="1"/>
    <xf numFmtId="0" fontId="0" fillId="0" borderId="13" xfId="0" applyBorder="1"/>
    <xf numFmtId="0" fontId="20" fillId="0" borderId="1" xfId="0" applyFont="1" applyBorder="1" applyAlignment="1">
      <alignment vertical="center"/>
    </xf>
    <xf numFmtId="3" fontId="2" fillId="0" borderId="9" xfId="6" applyNumberFormat="1" applyFont="1" applyBorder="1" applyAlignment="1">
      <alignment vertical="center"/>
    </xf>
    <xf numFmtId="3" fontId="10" fillId="0" borderId="9" xfId="6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0" fontId="14" fillId="9" borderId="6" xfId="0" applyFont="1" applyFill="1" applyBorder="1" applyAlignment="1">
      <alignment vertical="center"/>
    </xf>
    <xf numFmtId="3" fontId="14" fillId="9" borderId="8" xfId="6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vertical="center"/>
    </xf>
    <xf numFmtId="3" fontId="0" fillId="5" borderId="19" xfId="6" applyNumberFormat="1" applyFont="1" applyFill="1" applyBorder="1" applyAlignment="1">
      <alignment vertical="center"/>
    </xf>
    <xf numFmtId="3" fontId="0" fillId="5" borderId="20" xfId="0" applyNumberFormat="1" applyFill="1" applyBorder="1" applyAlignment="1">
      <alignment vertical="center"/>
    </xf>
    <xf numFmtId="0" fontId="0" fillId="5" borderId="21" xfId="0" applyFill="1" applyBorder="1" applyAlignment="1">
      <alignment vertical="center"/>
    </xf>
    <xf numFmtId="3" fontId="0" fillId="5" borderId="22" xfId="6" applyNumberFormat="1" applyFont="1" applyFill="1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0" fontId="0" fillId="5" borderId="24" xfId="0" applyFill="1" applyBorder="1" applyAlignment="1">
      <alignment vertical="center"/>
    </xf>
    <xf numFmtId="3" fontId="0" fillId="5" borderId="25" xfId="6" applyNumberFormat="1" applyFont="1" applyFill="1" applyBorder="1" applyAlignment="1">
      <alignment vertical="center"/>
    </xf>
    <xf numFmtId="3" fontId="0" fillId="5" borderId="26" xfId="0" applyNumberForma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3" fontId="2" fillId="5" borderId="7" xfId="6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2" fillId="6" borderId="6" xfId="0" applyFont="1" applyFill="1" applyBorder="1" applyAlignment="1">
      <alignment horizontal="left" vertical="center"/>
    </xf>
    <xf numFmtId="3" fontId="2" fillId="6" borderId="8" xfId="0" applyNumberFormat="1" applyFont="1" applyFill="1" applyBorder="1" applyAlignment="1">
      <alignment vertical="center"/>
    </xf>
    <xf numFmtId="3" fontId="2" fillId="6" borderId="7" xfId="0" applyNumberFormat="1" applyFont="1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3" fontId="0" fillId="6" borderId="19" xfId="6" applyNumberFormat="1" applyFont="1" applyFill="1" applyBorder="1" applyAlignment="1">
      <alignment vertical="center"/>
    </xf>
    <xf numFmtId="3" fontId="0" fillId="6" borderId="20" xfId="6" applyNumberFormat="1" applyFont="1" applyFill="1" applyBorder="1" applyAlignment="1">
      <alignment vertical="center"/>
    </xf>
    <xf numFmtId="0" fontId="0" fillId="6" borderId="21" xfId="0" applyFill="1" applyBorder="1" applyAlignment="1">
      <alignment vertical="center"/>
    </xf>
    <xf numFmtId="3" fontId="0" fillId="6" borderId="22" xfId="6" applyNumberFormat="1" applyFont="1" applyFill="1" applyBorder="1" applyAlignment="1">
      <alignment vertical="center"/>
    </xf>
    <xf numFmtId="3" fontId="0" fillId="6" borderId="23" xfId="6" applyNumberFormat="1" applyFont="1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3" fontId="0" fillId="6" borderId="25" xfId="6" applyNumberFormat="1" applyFont="1" applyFill="1" applyBorder="1" applyAlignment="1">
      <alignment vertical="center"/>
    </xf>
    <xf numFmtId="3" fontId="0" fillId="6" borderId="26" xfId="6" applyNumberFormat="1" applyFont="1" applyFill="1" applyBorder="1" applyAlignment="1">
      <alignment vertical="center"/>
    </xf>
    <xf numFmtId="3" fontId="0" fillId="6" borderId="25" xfId="0" applyNumberForma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3" fontId="2" fillId="6" borderId="8" xfId="6" applyNumberFormat="1" applyFon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0" fontId="2" fillId="7" borderId="6" xfId="0" applyFont="1" applyFill="1" applyBorder="1" applyAlignment="1">
      <alignment horizontal="left" vertical="center"/>
    </xf>
    <xf numFmtId="3" fontId="2" fillId="7" borderId="8" xfId="0" applyNumberFormat="1" applyFont="1" applyFill="1" applyBorder="1" applyAlignment="1">
      <alignment vertical="center"/>
    </xf>
    <xf numFmtId="3" fontId="2" fillId="7" borderId="7" xfId="0" applyNumberFormat="1" applyFont="1" applyFill="1" applyBorder="1" applyAlignment="1">
      <alignment vertical="center"/>
    </xf>
    <xf numFmtId="0" fontId="0" fillId="7" borderId="3" xfId="0" applyFill="1" applyBorder="1" applyAlignment="1">
      <alignment vertical="center"/>
    </xf>
    <xf numFmtId="3" fontId="0" fillId="7" borderId="13" xfId="6" applyNumberFormat="1" applyFont="1" applyFill="1" applyBorder="1" applyAlignment="1">
      <alignment vertical="center"/>
    </xf>
    <xf numFmtId="3" fontId="0" fillId="7" borderId="11" xfId="6" applyNumberFormat="1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3" fontId="2" fillId="7" borderId="8" xfId="6" applyNumberFormat="1" applyFont="1" applyFill="1" applyBorder="1" applyAlignment="1">
      <alignment vertical="center"/>
    </xf>
    <xf numFmtId="0" fontId="2" fillId="8" borderId="6" xfId="0" applyFont="1" applyFill="1" applyBorder="1" applyAlignment="1">
      <alignment horizontal="left" vertical="center"/>
    </xf>
    <xf numFmtId="3" fontId="2" fillId="8" borderId="8" xfId="0" applyNumberFormat="1" applyFont="1" applyFill="1" applyBorder="1" applyAlignment="1">
      <alignment vertical="center"/>
    </xf>
    <xf numFmtId="3" fontId="2" fillId="8" borderId="7" xfId="0" applyNumberFormat="1" applyFont="1" applyFill="1" applyBorder="1" applyAlignment="1">
      <alignment vertical="center"/>
    </xf>
    <xf numFmtId="0" fontId="0" fillId="8" borderId="3" xfId="0" applyFill="1" applyBorder="1" applyAlignment="1">
      <alignment vertical="center"/>
    </xf>
    <xf numFmtId="3" fontId="0" fillId="8" borderId="13" xfId="6" applyNumberFormat="1" applyFont="1" applyFill="1" applyBorder="1" applyAlignment="1">
      <alignment vertical="center"/>
    </xf>
    <xf numFmtId="3" fontId="0" fillId="8" borderId="11" xfId="6" applyNumberFormat="1" applyFont="1" applyFill="1" applyBorder="1" applyAlignment="1">
      <alignment vertical="center"/>
    </xf>
    <xf numFmtId="0" fontId="2" fillId="8" borderId="6" xfId="0" applyFont="1" applyFill="1" applyBorder="1" applyAlignment="1">
      <alignment vertical="center"/>
    </xf>
    <xf numFmtId="3" fontId="2" fillId="8" borderId="8" xfId="6" applyNumberFormat="1" applyFont="1" applyFill="1" applyBorder="1" applyAlignment="1">
      <alignment vertical="center"/>
    </xf>
    <xf numFmtId="0" fontId="21" fillId="0" borderId="0" xfId="0" applyFont="1"/>
    <xf numFmtId="0" fontId="2" fillId="10" borderId="6" xfId="0" applyFont="1" applyFill="1" applyBorder="1" applyAlignment="1">
      <alignment horizontal="left" vertical="center"/>
    </xf>
    <xf numFmtId="3" fontId="2" fillId="10" borderId="8" xfId="0" applyNumberFormat="1" applyFont="1" applyFill="1" applyBorder="1" applyAlignment="1">
      <alignment vertical="center"/>
    </xf>
    <xf numFmtId="3" fontId="2" fillId="10" borderId="7" xfId="0" applyNumberFormat="1" applyFont="1" applyFill="1" applyBorder="1" applyAlignment="1">
      <alignment vertical="center"/>
    </xf>
    <xf numFmtId="0" fontId="0" fillId="10" borderId="18" xfId="0" applyFill="1" applyBorder="1" applyAlignment="1">
      <alignment vertical="center"/>
    </xf>
    <xf numFmtId="3" fontId="0" fillId="10" borderId="19" xfId="6" applyNumberFormat="1" applyFont="1" applyFill="1" applyBorder="1" applyAlignment="1">
      <alignment vertical="center"/>
    </xf>
    <xf numFmtId="3" fontId="0" fillId="10" borderId="20" xfId="6" applyNumberFormat="1" applyFont="1" applyFill="1" applyBorder="1" applyAlignment="1">
      <alignment vertical="center"/>
    </xf>
    <xf numFmtId="3" fontId="0" fillId="10" borderId="22" xfId="6" applyNumberFormat="1" applyFont="1" applyFill="1" applyBorder="1" applyAlignment="1">
      <alignment vertical="center"/>
    </xf>
    <xf numFmtId="3" fontId="0" fillId="10" borderId="23" xfId="6" applyNumberFormat="1" applyFont="1" applyFill="1" applyBorder="1" applyAlignment="1">
      <alignment vertical="center"/>
    </xf>
    <xf numFmtId="0" fontId="2" fillId="10" borderId="27" xfId="0" applyFont="1" applyFill="1" applyBorder="1" applyAlignment="1">
      <alignment vertical="center"/>
    </xf>
    <xf numFmtId="3" fontId="2" fillId="10" borderId="28" xfId="6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10" borderId="7" xfId="0" applyNumberFormat="1" applyFont="1" applyFill="1" applyBorder="1"/>
    <xf numFmtId="0" fontId="0" fillId="9" borderId="6" xfId="0" applyFont="1" applyFill="1" applyBorder="1" applyAlignment="1">
      <alignment horizontal="left"/>
    </xf>
    <xf numFmtId="3" fontId="0" fillId="9" borderId="8" xfId="0" applyNumberFormat="1" applyFont="1" applyFill="1" applyBorder="1" applyAlignment="1">
      <alignment horizontal="right"/>
    </xf>
    <xf numFmtId="0" fontId="0" fillId="10" borderId="22" xfId="0" applyFill="1" applyBorder="1"/>
    <xf numFmtId="0" fontId="12" fillId="0" borderId="0" xfId="0" applyFont="1"/>
    <xf numFmtId="0" fontId="0" fillId="0" borderId="0" xfId="0"/>
    <xf numFmtId="0" fontId="14" fillId="0" borderId="0" xfId="0" applyFont="1"/>
    <xf numFmtId="1" fontId="14" fillId="0" borderId="8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/>
    <xf numFmtId="0" fontId="0" fillId="5" borderId="18" xfId="0" applyFill="1" applyBorder="1"/>
    <xf numFmtId="3" fontId="0" fillId="5" borderId="19" xfId="0" applyNumberFormat="1" applyFill="1" applyBorder="1" applyAlignment="1">
      <alignment horizontal="right" vertical="center"/>
    </xf>
    <xf numFmtId="0" fontId="0" fillId="5" borderId="21" xfId="0" applyFill="1" applyBorder="1"/>
    <xf numFmtId="0" fontId="2" fillId="5" borderId="6" xfId="0" applyFont="1" applyFill="1" applyBorder="1"/>
    <xf numFmtId="3" fontId="2" fillId="5" borderId="8" xfId="0" applyNumberFormat="1" applyFont="1" applyFill="1" applyBorder="1" applyAlignment="1">
      <alignment horizontal="right" vertical="center"/>
    </xf>
    <xf numFmtId="0" fontId="2" fillId="6" borderId="6" xfId="0" applyFont="1" applyFill="1" applyBorder="1" applyAlignment="1"/>
    <xf numFmtId="3" fontId="2" fillId="6" borderId="8" xfId="0" applyNumberFormat="1" applyFont="1" applyFill="1" applyBorder="1" applyAlignment="1"/>
    <xf numFmtId="0" fontId="0" fillId="6" borderId="18" xfId="0" applyFill="1" applyBorder="1"/>
    <xf numFmtId="0" fontId="0" fillId="6" borderId="24" xfId="0" applyFill="1" applyBorder="1"/>
    <xf numFmtId="3" fontId="0" fillId="6" borderId="25" xfId="0" applyNumberFormat="1" applyFill="1" applyBorder="1" applyAlignment="1">
      <alignment horizontal="right" vertical="center"/>
    </xf>
    <xf numFmtId="0" fontId="2" fillId="6" borderId="6" xfId="0" applyFont="1" applyFill="1" applyBorder="1"/>
    <xf numFmtId="3" fontId="2" fillId="6" borderId="8" xfId="0" applyNumberFormat="1" applyFont="1" applyFill="1" applyBorder="1" applyAlignment="1">
      <alignment horizontal="right" vertical="center"/>
    </xf>
    <xf numFmtId="0" fontId="2" fillId="7" borderId="6" xfId="0" applyFont="1" applyFill="1" applyBorder="1" applyAlignment="1"/>
    <xf numFmtId="3" fontId="2" fillId="7" borderId="8" xfId="0" applyNumberFormat="1" applyFont="1" applyFill="1" applyBorder="1" applyAlignment="1"/>
    <xf numFmtId="0" fontId="0" fillId="7" borderId="3" xfId="0" applyFill="1" applyBorder="1"/>
    <xf numFmtId="3" fontId="0" fillId="7" borderId="13" xfId="0" applyNumberFormat="1" applyFill="1" applyBorder="1" applyAlignment="1">
      <alignment horizontal="right" vertical="center"/>
    </xf>
    <xf numFmtId="0" fontId="2" fillId="7" borderId="6" xfId="0" applyFont="1" applyFill="1" applyBorder="1"/>
    <xf numFmtId="3" fontId="2" fillId="7" borderId="8" xfId="0" applyNumberFormat="1" applyFont="1" applyFill="1" applyBorder="1" applyAlignment="1">
      <alignment horizontal="right" vertical="center"/>
    </xf>
    <xf numFmtId="0" fontId="2" fillId="8" borderId="6" xfId="0" applyFont="1" applyFill="1" applyBorder="1" applyAlignment="1"/>
    <xf numFmtId="3" fontId="2" fillId="8" borderId="8" xfId="0" applyNumberFormat="1" applyFont="1" applyFill="1" applyBorder="1" applyAlignment="1"/>
    <xf numFmtId="0" fontId="0" fillId="8" borderId="3" xfId="0" applyFill="1" applyBorder="1"/>
    <xf numFmtId="3" fontId="0" fillId="8" borderId="13" xfId="0" applyNumberFormat="1" applyFill="1" applyBorder="1" applyAlignment="1">
      <alignment horizontal="right" vertical="center"/>
    </xf>
    <xf numFmtId="0" fontId="2" fillId="8" borderId="6" xfId="0" applyFont="1" applyFill="1" applyBorder="1"/>
    <xf numFmtId="3" fontId="2" fillId="8" borderId="8" xfId="0" applyNumberFormat="1" applyFont="1" applyFill="1" applyBorder="1" applyAlignment="1">
      <alignment horizontal="right" vertical="center"/>
    </xf>
    <xf numFmtId="0" fontId="2" fillId="9" borderId="6" xfId="0" applyFont="1" applyFill="1" applyBorder="1" applyAlignment="1"/>
    <xf numFmtId="3" fontId="2" fillId="9" borderId="8" xfId="0" applyNumberFormat="1" applyFont="1" applyFill="1" applyBorder="1" applyAlignment="1"/>
    <xf numFmtId="0" fontId="0" fillId="9" borderId="4" xfId="0" applyFont="1" applyFill="1" applyBorder="1" applyAlignment="1">
      <alignment horizontal="left"/>
    </xf>
    <xf numFmtId="0" fontId="2" fillId="9" borderId="27" xfId="0" applyFont="1" applyFill="1" applyBorder="1"/>
    <xf numFmtId="3" fontId="2" fillId="9" borderId="8" xfId="0" applyNumberFormat="1" applyFont="1" applyFill="1" applyBorder="1" applyAlignment="1">
      <alignment horizontal="right" vertical="center"/>
    </xf>
    <xf numFmtId="0" fontId="2" fillId="10" borderId="6" xfId="0" applyFont="1" applyFill="1" applyBorder="1" applyAlignment="1"/>
    <xf numFmtId="3" fontId="2" fillId="10" borderId="8" xfId="0" applyNumberFormat="1" applyFont="1" applyFill="1" applyBorder="1" applyAlignment="1"/>
    <xf numFmtId="0" fontId="0" fillId="10" borderId="18" xfId="0" applyFill="1" applyBorder="1"/>
    <xf numFmtId="3" fontId="0" fillId="10" borderId="19" xfId="0" applyNumberFormat="1" applyFill="1" applyBorder="1" applyAlignment="1">
      <alignment horizontal="right" vertical="center"/>
    </xf>
    <xf numFmtId="0" fontId="2" fillId="10" borderId="6" xfId="0" applyFont="1" applyFill="1" applyBorder="1"/>
    <xf numFmtId="3" fontId="2" fillId="10" borderId="8" xfId="0" applyNumberFormat="1" applyFont="1" applyFill="1" applyBorder="1" applyAlignment="1">
      <alignment horizontal="right" vertical="center"/>
    </xf>
    <xf numFmtId="0" fontId="2" fillId="11" borderId="6" xfId="0" applyFont="1" applyFill="1" applyBorder="1" applyAlignment="1"/>
    <xf numFmtId="3" fontId="2" fillId="11" borderId="8" xfId="0" applyNumberFormat="1" applyFont="1" applyFill="1" applyBorder="1" applyAlignment="1"/>
    <xf numFmtId="0" fontId="0" fillId="11" borderId="6" xfId="0" applyFill="1" applyBorder="1"/>
    <xf numFmtId="3" fontId="0" fillId="11" borderId="8" xfId="0" applyNumberFormat="1" applyFill="1" applyBorder="1" applyAlignment="1">
      <alignment horizontal="right" vertical="center"/>
    </xf>
    <xf numFmtId="0" fontId="2" fillId="11" borderId="4" xfId="0" applyFont="1" applyFill="1" applyBorder="1"/>
    <xf numFmtId="3" fontId="2" fillId="11" borderId="15" xfId="0" applyNumberFormat="1" applyFont="1" applyFill="1" applyBorder="1" applyAlignment="1">
      <alignment horizontal="right" vertical="center"/>
    </xf>
    <xf numFmtId="0" fontId="14" fillId="9" borderId="6" xfId="0" applyFont="1" applyFill="1" applyBorder="1"/>
    <xf numFmtId="3" fontId="14" fillId="9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Border="1"/>
    <xf numFmtId="4" fontId="0" fillId="0" borderId="0" xfId="0" applyNumberFormat="1" applyAlignment="1">
      <alignment horizontal="right" vertical="center"/>
    </xf>
    <xf numFmtId="0" fontId="2" fillId="5" borderId="8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7" xfId="0" applyBorder="1" applyAlignment="1"/>
    <xf numFmtId="3" fontId="0" fillId="0" borderId="0" xfId="0" applyNumberFormat="1" applyBorder="1"/>
    <xf numFmtId="0" fontId="2" fillId="9" borderId="6" xfId="0" applyFont="1" applyFill="1" applyBorder="1" applyAlignment="1">
      <alignment horizontal="left" vertical="center"/>
    </xf>
    <xf numFmtId="3" fontId="1" fillId="9" borderId="8" xfId="6" applyNumberFormat="1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3" fontId="2" fillId="9" borderId="15" xfId="6" applyNumberFormat="1" applyFont="1" applyFill="1" applyBorder="1" applyAlignment="1">
      <alignment vertical="center"/>
    </xf>
    <xf numFmtId="3" fontId="7" fillId="0" borderId="9" xfId="6" applyNumberFormat="1" applyFont="1" applyBorder="1" applyAlignment="1">
      <alignment vertical="center"/>
    </xf>
    <xf numFmtId="3" fontId="2" fillId="9" borderId="12" xfId="0" applyNumberFormat="1" applyFont="1" applyFill="1" applyBorder="1"/>
    <xf numFmtId="0" fontId="14" fillId="2" borderId="6" xfId="0" applyFont="1" applyFill="1" applyBorder="1" applyAlignment="1">
      <alignment vertical="center"/>
    </xf>
    <xf numFmtId="3" fontId="16" fillId="0" borderId="15" xfId="0" applyNumberFormat="1" applyFont="1" applyFill="1" applyBorder="1"/>
    <xf numFmtId="3" fontId="11" fillId="0" borderId="0" xfId="0" applyNumberFormat="1" applyFont="1"/>
    <xf numFmtId="3" fontId="7" fillId="3" borderId="17" xfId="0" applyNumberFormat="1" applyFont="1" applyFill="1" applyBorder="1"/>
    <xf numFmtId="3" fontId="7" fillId="3" borderId="22" xfId="0" applyNumberFormat="1" applyFont="1" applyFill="1" applyBorder="1"/>
    <xf numFmtId="3" fontId="2" fillId="3" borderId="22" xfId="0" applyNumberFormat="1" applyFont="1" applyFill="1" applyBorder="1"/>
    <xf numFmtId="3" fontId="7" fillId="3" borderId="28" xfId="0" applyNumberFormat="1" applyFont="1" applyFill="1" applyBorder="1"/>
    <xf numFmtId="0" fontId="2" fillId="3" borderId="38" xfId="0" applyFont="1" applyFill="1" applyBorder="1"/>
    <xf numFmtId="0" fontId="2" fillId="3" borderId="39" xfId="0" applyFont="1" applyFill="1" applyBorder="1"/>
    <xf numFmtId="3" fontId="6" fillId="4" borderId="33" xfId="0" applyNumberFormat="1" applyFont="1" applyFill="1" applyBorder="1"/>
    <xf numFmtId="3" fontId="6" fillId="4" borderId="21" xfId="0" applyNumberFormat="1" applyFont="1" applyFill="1" applyBorder="1"/>
    <xf numFmtId="3" fontId="0" fillId="4" borderId="21" xfId="0" applyNumberFormat="1" applyFont="1" applyFill="1" applyBorder="1"/>
    <xf numFmtId="3" fontId="6" fillId="4" borderId="27" xfId="0" applyNumberFormat="1" applyFont="1" applyFill="1" applyBorder="1"/>
    <xf numFmtId="49" fontId="6" fillId="0" borderId="23" xfId="0" applyNumberFormat="1" applyFont="1" applyBorder="1"/>
    <xf numFmtId="3" fontId="6" fillId="2" borderId="33" xfId="0" applyNumberFormat="1" applyFont="1" applyFill="1" applyBorder="1"/>
    <xf numFmtId="3" fontId="6" fillId="2" borderId="21" xfId="0" applyNumberFormat="1" applyFont="1" applyFill="1" applyBorder="1"/>
    <xf numFmtId="3" fontId="2" fillId="2" borderId="6" xfId="0" applyNumberFormat="1" applyFont="1" applyFill="1" applyBorder="1"/>
    <xf numFmtId="3" fontId="6" fillId="4" borderId="22" xfId="0" applyNumberFormat="1" applyFont="1" applyFill="1" applyBorder="1"/>
    <xf numFmtId="3" fontId="0" fillId="4" borderId="22" xfId="0" applyNumberFormat="1" applyFont="1" applyFill="1" applyBorder="1"/>
    <xf numFmtId="3" fontId="6" fillId="3" borderId="22" xfId="0" applyNumberFormat="1" applyFont="1" applyFill="1" applyBorder="1"/>
    <xf numFmtId="3" fontId="0" fillId="3" borderId="22" xfId="0" applyNumberFormat="1" applyFont="1" applyFill="1" applyBorder="1"/>
    <xf numFmtId="3" fontId="6" fillId="3" borderId="28" xfId="0" applyNumberFormat="1" applyFont="1" applyFill="1" applyBorder="1"/>
    <xf numFmtId="3" fontId="2" fillId="0" borderId="0" xfId="0" applyNumberFormat="1" applyFont="1" applyFill="1"/>
    <xf numFmtId="3" fontId="0" fillId="2" borderId="13" xfId="0" applyNumberFormat="1" applyFill="1" applyBorder="1"/>
    <xf numFmtId="3" fontId="0" fillId="8" borderId="8" xfId="0" applyNumberFormat="1" applyFill="1" applyBorder="1"/>
    <xf numFmtId="1" fontId="0" fillId="5" borderId="19" xfId="0" applyNumberFormat="1" applyFill="1" applyBorder="1"/>
    <xf numFmtId="1" fontId="0" fillId="5" borderId="22" xfId="0" applyNumberFormat="1" applyFill="1" applyBorder="1"/>
    <xf numFmtId="1" fontId="0" fillId="5" borderId="25" xfId="0" applyNumberFormat="1" applyFill="1" applyBorder="1"/>
    <xf numFmtId="0" fontId="12" fillId="0" borderId="0" xfId="0" applyFont="1" applyBorder="1"/>
    <xf numFmtId="3" fontId="0" fillId="9" borderId="8" xfId="0" applyNumberFormat="1" applyFill="1" applyBorder="1" applyAlignment="1">
      <alignment horizontal="right"/>
    </xf>
    <xf numFmtId="3" fontId="2" fillId="9" borderId="15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0" fontId="2" fillId="12" borderId="6" xfId="0" applyFont="1" applyFill="1" applyBorder="1" applyAlignment="1"/>
    <xf numFmtId="3" fontId="2" fillId="12" borderId="8" xfId="0" applyNumberFormat="1" applyFont="1" applyFill="1" applyBorder="1" applyAlignment="1"/>
    <xf numFmtId="0" fontId="0" fillId="12" borderId="6" xfId="0" applyFill="1" applyBorder="1"/>
    <xf numFmtId="3" fontId="0" fillId="12" borderId="8" xfId="0" applyNumberFormat="1" applyFill="1" applyBorder="1" applyAlignment="1">
      <alignment horizontal="right" vertical="center"/>
    </xf>
    <xf numFmtId="0" fontId="2" fillId="12" borderId="4" xfId="0" applyFont="1" applyFill="1" applyBorder="1"/>
    <xf numFmtId="3" fontId="2" fillId="12" borderId="15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left" vertical="top" wrapText="1"/>
    </xf>
    <xf numFmtId="0" fontId="16" fillId="0" borderId="0" xfId="0" applyFont="1" applyAlignment="1"/>
    <xf numFmtId="0" fontId="0" fillId="5" borderId="17" xfId="0" applyFill="1" applyBorder="1"/>
    <xf numFmtId="0" fontId="0" fillId="6" borderId="25" xfId="0" applyFill="1" applyBorder="1"/>
    <xf numFmtId="0" fontId="2" fillId="6" borderId="8" xfId="0" applyFont="1" applyFill="1" applyBorder="1"/>
    <xf numFmtId="0" fontId="2" fillId="7" borderId="8" xfId="0" applyFont="1" applyFill="1" applyBorder="1" applyAlignment="1">
      <alignment horizontal="left"/>
    </xf>
    <xf numFmtId="0" fontId="0" fillId="7" borderId="13" xfId="0" applyFill="1" applyBorder="1"/>
    <xf numFmtId="0" fontId="2" fillId="7" borderId="8" xfId="0" applyFont="1" applyFill="1" applyBorder="1"/>
    <xf numFmtId="0" fontId="2" fillId="8" borderId="8" xfId="0" applyFont="1" applyFill="1" applyBorder="1" applyAlignment="1">
      <alignment horizontal="left"/>
    </xf>
    <xf numFmtId="0" fontId="0" fillId="8" borderId="13" xfId="0" applyFill="1" applyBorder="1"/>
    <xf numFmtId="0" fontId="2" fillId="8" borderId="8" xfId="0" applyFont="1" applyFill="1" applyBorder="1"/>
    <xf numFmtId="0" fontId="2" fillId="9" borderId="8" xfId="0" applyFont="1" applyFill="1" applyBorder="1" applyAlignment="1">
      <alignment horizontal="left"/>
    </xf>
    <xf numFmtId="3" fontId="0" fillId="9" borderId="7" xfId="0" applyNumberFormat="1" applyFill="1" applyBorder="1"/>
    <xf numFmtId="0" fontId="2" fillId="9" borderId="28" xfId="0" applyFont="1" applyFill="1" applyBorder="1"/>
    <xf numFmtId="0" fontId="2" fillId="10" borderId="8" xfId="0" applyFont="1" applyFill="1" applyBorder="1" applyAlignment="1">
      <alignment horizontal="left"/>
    </xf>
    <xf numFmtId="0" fontId="0" fillId="10" borderId="19" xfId="0" applyFill="1" applyBorder="1"/>
    <xf numFmtId="0" fontId="0" fillId="10" borderId="25" xfId="0" applyFill="1" applyBorder="1"/>
    <xf numFmtId="0" fontId="0" fillId="10" borderId="26" xfId="0" applyFill="1" applyBorder="1"/>
    <xf numFmtId="0" fontId="2" fillId="10" borderId="8" xfId="0" applyFont="1" applyFill="1" applyBorder="1"/>
    <xf numFmtId="0" fontId="0" fillId="10" borderId="27" xfId="0" applyFill="1" applyBorder="1"/>
    <xf numFmtId="3" fontId="0" fillId="10" borderId="28" xfId="0" applyNumberFormat="1" applyFill="1" applyBorder="1"/>
    <xf numFmtId="0" fontId="2" fillId="10" borderId="4" xfId="0" applyFont="1" applyFill="1" applyBorder="1"/>
    <xf numFmtId="3" fontId="2" fillId="10" borderId="15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/>
    </xf>
    <xf numFmtId="3" fontId="2" fillId="10" borderId="12" xfId="0" applyNumberFormat="1" applyFont="1" applyFill="1" applyBorder="1"/>
    <xf numFmtId="0" fontId="0" fillId="10" borderId="33" xfId="0" applyFill="1" applyBorder="1"/>
    <xf numFmtId="3" fontId="0" fillId="10" borderId="16" xfId="0" applyNumberFormat="1" applyFill="1" applyBorder="1"/>
    <xf numFmtId="0" fontId="0" fillId="10" borderId="29" xfId="0" applyFill="1" applyBorder="1"/>
    <xf numFmtId="0" fontId="0" fillId="5" borderId="3" xfId="0" applyFill="1" applyBorder="1"/>
    <xf numFmtId="3" fontId="0" fillId="5" borderId="13" xfId="0" applyNumberFormat="1" applyFill="1" applyBorder="1" applyAlignment="1">
      <alignment horizontal="right" vertical="center"/>
    </xf>
    <xf numFmtId="0" fontId="14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2" fillId="0" borderId="11" xfId="0" applyNumberFormat="1" applyFont="1" applyBorder="1"/>
    <xf numFmtId="0" fontId="0" fillId="9" borderId="7" xfId="0" applyFill="1" applyBorder="1"/>
    <xf numFmtId="0" fontId="0" fillId="0" borderId="0" xfId="0" applyAlignment="1">
      <alignment vertical="top"/>
    </xf>
    <xf numFmtId="4" fontId="0" fillId="0" borderId="0" xfId="0" applyNumberFormat="1" applyAlignment="1">
      <alignment horizontal="right" vertical="top"/>
    </xf>
    <xf numFmtId="0" fontId="14" fillId="9" borderId="8" xfId="0" applyFont="1" applyFill="1" applyBorder="1"/>
    <xf numFmtId="0" fontId="19" fillId="0" borderId="0" xfId="0" applyFont="1" applyAlignment="1">
      <alignment vertical="center"/>
    </xf>
    <xf numFmtId="0" fontId="2" fillId="9" borderId="27" xfId="0" applyFont="1" applyFill="1" applyBorder="1" applyAlignment="1">
      <alignment horizontal="left"/>
    </xf>
    <xf numFmtId="0" fontId="2" fillId="0" borderId="3" xfId="0" applyFont="1" applyBorder="1" applyAlignment="1">
      <alignment horizontal="left"/>
    </xf>
    <xf numFmtId="3" fontId="2" fillId="9" borderId="12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 vertical="top" wrapText="1"/>
    </xf>
    <xf numFmtId="3" fontId="6" fillId="0" borderId="33" xfId="0" applyNumberFormat="1" applyFont="1" applyFill="1" applyBorder="1"/>
    <xf numFmtId="3" fontId="6" fillId="0" borderId="21" xfId="0" applyNumberFormat="1" applyFont="1" applyFill="1" applyBorder="1"/>
    <xf numFmtId="3" fontId="6" fillId="0" borderId="27" xfId="0" applyNumberFormat="1" applyFont="1" applyFill="1" applyBorder="1"/>
    <xf numFmtId="3" fontId="2" fillId="2" borderId="11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3" fontId="0" fillId="9" borderId="15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24" fillId="0" borderId="0" xfId="0" applyFont="1"/>
    <xf numFmtId="168" fontId="0" fillId="0" borderId="0" xfId="0" applyNumberFormat="1"/>
    <xf numFmtId="1" fontId="0" fillId="0" borderId="0" xfId="0" applyNumberFormat="1"/>
    <xf numFmtId="169" fontId="0" fillId="0" borderId="0" xfId="0" applyNumberFormat="1"/>
    <xf numFmtId="166" fontId="0" fillId="0" borderId="0" xfId="0" applyNumberFormat="1"/>
    <xf numFmtId="3" fontId="6" fillId="4" borderId="28" xfId="0" applyNumberFormat="1" applyFont="1" applyFill="1" applyBorder="1"/>
    <xf numFmtId="0" fontId="10" fillId="0" borderId="0" xfId="0" applyFont="1" applyFill="1" applyAlignment="1">
      <alignment vertical="center"/>
    </xf>
    <xf numFmtId="0" fontId="24" fillId="0" borderId="0" xfId="0" applyFont="1" applyFill="1"/>
    <xf numFmtId="167" fontId="0" fillId="0" borderId="0" xfId="0" applyNumberFormat="1" applyFill="1"/>
    <xf numFmtId="167" fontId="0" fillId="0" borderId="0" xfId="0" applyNumberFormat="1"/>
    <xf numFmtId="0" fontId="0" fillId="5" borderId="11" xfId="0" applyFill="1" applyBorder="1"/>
    <xf numFmtId="0" fontId="21" fillId="0" borderId="0" xfId="0" applyFont="1" applyFill="1" applyAlignment="1">
      <alignment vertical="center"/>
    </xf>
    <xf numFmtId="3" fontId="0" fillId="6" borderId="11" xfId="0" applyNumberFormat="1" applyFill="1" applyBorder="1"/>
    <xf numFmtId="164" fontId="0" fillId="0" borderId="0" xfId="0" applyNumberFormat="1" applyFill="1"/>
    <xf numFmtId="0" fontId="13" fillId="0" borderId="5" xfId="0" applyFont="1" applyBorder="1" applyAlignment="1"/>
    <xf numFmtId="0" fontId="0" fillId="0" borderId="5" xfId="0" applyBorder="1" applyAlignment="1"/>
    <xf numFmtId="0" fontId="16" fillId="0" borderId="5" xfId="0" applyFont="1" applyBorder="1" applyAlignment="1">
      <alignment horizontal="right"/>
    </xf>
    <xf numFmtId="3" fontId="0" fillId="13" borderId="23" xfId="0" applyNumberFormat="1" applyFill="1" applyBorder="1" applyAlignment="1">
      <alignment vertical="center"/>
    </xf>
    <xf numFmtId="3" fontId="0" fillId="13" borderId="26" xfId="6" applyNumberFormat="1" applyFont="1" applyFill="1" applyBorder="1" applyAlignment="1">
      <alignment vertical="center"/>
    </xf>
    <xf numFmtId="49" fontId="0" fillId="0" borderId="20" xfId="0" applyNumberFormat="1" applyBorder="1" applyAlignment="1">
      <alignment horizontal="left"/>
    </xf>
    <xf numFmtId="49" fontId="0" fillId="0" borderId="10" xfId="0" applyNumberFormat="1" applyBorder="1" applyAlignment="1">
      <alignment horizontal="left"/>
    </xf>
    <xf numFmtId="3" fontId="6" fillId="2" borderId="27" xfId="0" applyNumberFormat="1" applyFont="1" applyFill="1" applyBorder="1"/>
    <xf numFmtId="0" fontId="11" fillId="0" borderId="0" xfId="0" applyFont="1"/>
    <xf numFmtId="49" fontId="0" fillId="0" borderId="23" xfId="0" applyNumberFormat="1" applyBorder="1" applyAlignment="1">
      <alignment horizontal="left"/>
    </xf>
    <xf numFmtId="3" fontId="6" fillId="2" borderId="31" xfId="0" applyNumberFormat="1" applyFont="1" applyFill="1" applyBorder="1"/>
    <xf numFmtId="3" fontId="6" fillId="2" borderId="41" xfId="0" applyNumberFormat="1" applyFont="1" applyFill="1" applyBorder="1"/>
    <xf numFmtId="0" fontId="7" fillId="2" borderId="8" xfId="0" applyFont="1" applyFill="1" applyBorder="1" applyAlignment="1">
      <alignment horizontal="center" vertical="center" wrapText="1"/>
    </xf>
    <xf numFmtId="3" fontId="6" fillId="2" borderId="40" xfId="0" applyNumberFormat="1" applyFont="1" applyFill="1" applyBorder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0" fillId="0" borderId="0" xfId="0" applyFont="1"/>
    <xf numFmtId="0" fontId="2" fillId="8" borderId="7" xfId="0" applyFont="1" applyFill="1" applyBorder="1" applyAlignment="1">
      <alignment horizontal="right"/>
    </xf>
    <xf numFmtId="3" fontId="2" fillId="8" borderId="8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3" fontId="6" fillId="6" borderId="22" xfId="0" applyNumberFormat="1" applyFont="1" applyFill="1" applyBorder="1"/>
    <xf numFmtId="3" fontId="6" fillId="6" borderId="23" xfId="0" applyNumberFormat="1" applyFont="1" applyFill="1" applyBorder="1"/>
    <xf numFmtId="0" fontId="0" fillId="6" borderId="28" xfId="0" applyFill="1" applyBorder="1"/>
    <xf numFmtId="0" fontId="2" fillId="7" borderId="8" xfId="0" applyFont="1" applyFill="1" applyBorder="1" applyAlignment="1">
      <alignment horizontal="center"/>
    </xf>
    <xf numFmtId="3" fontId="0" fillId="7" borderId="8" xfId="0" applyNumberFormat="1" applyFill="1" applyBorder="1"/>
    <xf numFmtId="0" fontId="2" fillId="9" borderId="15" xfId="0" applyFont="1" applyFill="1" applyBorder="1"/>
    <xf numFmtId="0" fontId="0" fillId="0" borderId="13" xfId="0" applyFill="1" applyBorder="1"/>
    <xf numFmtId="3" fontId="12" fillId="0" borderId="0" xfId="0" applyNumberFormat="1" applyFont="1" applyFill="1" applyBorder="1"/>
    <xf numFmtId="3" fontId="0" fillId="6" borderId="8" xfId="0" applyNumberFormat="1" applyFill="1" applyBorder="1"/>
    <xf numFmtId="3" fontId="2" fillId="0" borderId="7" xfId="0" applyNumberFormat="1" applyFont="1" applyFill="1" applyBorder="1" applyAlignment="1">
      <alignment horizontal="center"/>
    </xf>
    <xf numFmtId="44" fontId="0" fillId="0" borderId="0" xfId="0" applyNumberFormat="1" applyBorder="1"/>
    <xf numFmtId="44" fontId="0" fillId="0" borderId="0" xfId="0" applyNumberFormat="1" applyFill="1" applyBorder="1"/>
    <xf numFmtId="3" fontId="6" fillId="6" borderId="25" xfId="0" applyNumberFormat="1" applyFont="1" applyFill="1" applyBorder="1"/>
    <xf numFmtId="3" fontId="0" fillId="7" borderId="13" xfId="0" applyNumberFormat="1" applyFont="1" applyFill="1" applyBorder="1"/>
    <xf numFmtId="3" fontId="0" fillId="7" borderId="11" xfId="0" applyNumberFormat="1" applyFont="1" applyFill="1" applyBorder="1"/>
    <xf numFmtId="3" fontId="6" fillId="10" borderId="28" xfId="0" applyNumberFormat="1" applyFont="1" applyFill="1" applyBorder="1"/>
    <xf numFmtId="0" fontId="0" fillId="0" borderId="6" xfId="0" applyBorder="1"/>
    <xf numFmtId="0" fontId="0" fillId="0" borderId="8" xfId="0" applyBorder="1"/>
    <xf numFmtId="3" fontId="14" fillId="0" borderId="5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0" fillId="0" borderId="3" xfId="0" applyNumberFormat="1" applyBorder="1"/>
    <xf numFmtId="3" fontId="2" fillId="6" borderId="6" xfId="0" applyNumberFormat="1" applyFont="1" applyFill="1" applyBorder="1" applyAlignment="1">
      <alignment horizontal="right" vertical="center"/>
    </xf>
    <xf numFmtId="3" fontId="2" fillId="7" borderId="6" xfId="0" applyNumberFormat="1" applyFont="1" applyFill="1" applyBorder="1" applyAlignment="1">
      <alignment horizontal="right" vertical="center"/>
    </xf>
    <xf numFmtId="3" fontId="2" fillId="8" borderId="6" xfId="0" applyNumberFormat="1" applyFont="1" applyFill="1" applyBorder="1" applyAlignment="1">
      <alignment horizontal="right" vertical="center"/>
    </xf>
    <xf numFmtId="3" fontId="2" fillId="9" borderId="6" xfId="0" applyNumberFormat="1" applyFont="1" applyFill="1" applyBorder="1" applyAlignment="1">
      <alignment horizontal="right" vertical="center"/>
    </xf>
    <xf numFmtId="3" fontId="2" fillId="10" borderId="6" xfId="0" applyNumberFormat="1" applyFont="1" applyFill="1" applyBorder="1" applyAlignment="1">
      <alignment horizontal="right" vertical="center"/>
    </xf>
    <xf numFmtId="3" fontId="2" fillId="11" borderId="8" xfId="0" applyNumberFormat="1" applyFont="1" applyFill="1" applyBorder="1" applyAlignment="1">
      <alignment horizontal="right" vertical="center"/>
    </xf>
    <xf numFmtId="3" fontId="2" fillId="11" borderId="6" xfId="0" applyNumberFormat="1" applyFont="1" applyFill="1" applyBorder="1" applyAlignment="1">
      <alignment horizontal="right" vertical="center"/>
    </xf>
    <xf numFmtId="3" fontId="2" fillId="12" borderId="8" xfId="0" applyNumberFormat="1" applyFont="1" applyFill="1" applyBorder="1" applyAlignment="1">
      <alignment horizontal="right" vertical="center"/>
    </xf>
    <xf numFmtId="3" fontId="2" fillId="12" borderId="6" xfId="0" applyNumberFormat="1" applyFont="1" applyFill="1" applyBorder="1" applyAlignment="1">
      <alignment horizontal="right" vertical="center"/>
    </xf>
    <xf numFmtId="4" fontId="14" fillId="9" borderId="8" xfId="0" applyNumberFormat="1" applyFont="1" applyFill="1" applyBorder="1" applyAlignment="1">
      <alignment horizontal="right" vertical="center"/>
    </xf>
    <xf numFmtId="4" fontId="14" fillId="9" borderId="6" xfId="0" applyNumberFormat="1" applyFont="1" applyFill="1" applyBorder="1" applyAlignment="1">
      <alignment horizontal="right" vertical="center"/>
    </xf>
    <xf numFmtId="3" fontId="0" fillId="0" borderId="6" xfId="0" applyNumberFormat="1" applyBorder="1"/>
    <xf numFmtId="3" fontId="0" fillId="0" borderId="7" xfId="0" applyNumberFormat="1" applyBorder="1"/>
    <xf numFmtId="3" fontId="0" fillId="0" borderId="0" xfId="0" applyNumberFormat="1" applyAlignment="1">
      <alignment horizontal="left" wrapText="1"/>
    </xf>
    <xf numFmtId="3" fontId="10" fillId="0" borderId="0" xfId="0" applyNumberFormat="1" applyFont="1"/>
    <xf numFmtId="0" fontId="10" fillId="0" borderId="0" xfId="0" applyFont="1" applyAlignment="1">
      <alignment wrapText="1"/>
    </xf>
    <xf numFmtId="167" fontId="0" fillId="5" borderId="20" xfId="6" applyNumberFormat="1" applyFont="1" applyFill="1" applyBorder="1"/>
    <xf numFmtId="164" fontId="0" fillId="5" borderId="20" xfId="6" applyFont="1" applyFill="1" applyBorder="1"/>
    <xf numFmtId="3" fontId="7" fillId="0" borderId="13" xfId="0" applyNumberFormat="1" applyFont="1" applyBorder="1"/>
    <xf numFmtId="3" fontId="7" fillId="7" borderId="8" xfId="0" applyNumberFormat="1" applyFont="1" applyFill="1" applyBorder="1" applyAlignment="1">
      <alignment horizontal="center"/>
    </xf>
    <xf numFmtId="3" fontId="6" fillId="7" borderId="13" xfId="0" applyNumberFormat="1" applyFont="1" applyFill="1" applyBorder="1"/>
    <xf numFmtId="3" fontId="7" fillId="8" borderId="8" xfId="0" applyNumberFormat="1" applyFont="1" applyFill="1" applyBorder="1" applyAlignment="1">
      <alignment horizontal="left"/>
    </xf>
    <xf numFmtId="3" fontId="0" fillId="8" borderId="7" xfId="0" applyNumberFormat="1" applyFont="1" applyFill="1" applyBorder="1" applyAlignment="1">
      <alignment horizontal="right"/>
    </xf>
    <xf numFmtId="3" fontId="6" fillId="8" borderId="13" xfId="0" applyNumberFormat="1" applyFont="1" applyFill="1" applyBorder="1"/>
    <xf numFmtId="3" fontId="7" fillId="9" borderId="8" xfId="0" applyNumberFormat="1" applyFont="1" applyFill="1" applyBorder="1" applyAlignment="1">
      <alignment horizontal="left"/>
    </xf>
    <xf numFmtId="3" fontId="2" fillId="9" borderId="7" xfId="0" applyNumberFormat="1" applyFont="1" applyFill="1" applyBorder="1"/>
    <xf numFmtId="3" fontId="7" fillId="9" borderId="15" xfId="0" applyNumberFormat="1" applyFont="1" applyFill="1" applyBorder="1"/>
    <xf numFmtId="49" fontId="25" fillId="14" borderId="42" xfId="0" applyNumberFormat="1" applyFont="1" applyFill="1" applyBorder="1" applyAlignment="1">
      <alignment horizontal="center"/>
    </xf>
    <xf numFmtId="0" fontId="2" fillId="0" borderId="1" xfId="0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3" fontId="14" fillId="9" borderId="6" xfId="0" applyNumberFormat="1" applyFont="1" applyFill="1" applyBorder="1"/>
    <xf numFmtId="3" fontId="12" fillId="10" borderId="28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0" fillId="0" borderId="0" xfId="0" applyFill="1" applyAlignment="1">
      <alignment horizontal="left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wrapText="1"/>
    </xf>
    <xf numFmtId="3" fontId="14" fillId="0" borderId="7" xfId="0" applyNumberFormat="1" applyFont="1" applyBorder="1" applyAlignment="1">
      <alignment horizontal="center" vertical="center" wrapText="1"/>
    </xf>
    <xf numFmtId="3" fontId="14" fillId="0" borderId="6" xfId="0" applyNumberFormat="1" applyFont="1" applyFill="1" applyBorder="1" applyAlignment="1">
      <alignment horizontal="center" vertical="center" wrapText="1"/>
    </xf>
    <xf numFmtId="3" fontId="14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3" fontId="14" fillId="9" borderId="6" xfId="6" applyNumberFormat="1" applyFont="1" applyFill="1" applyBorder="1" applyAlignment="1">
      <alignment horizontal="center" vertical="center"/>
    </xf>
    <xf numFmtId="3" fontId="14" fillId="9" borderId="7" xfId="6" applyNumberFormat="1" applyFont="1" applyFill="1" applyBorder="1" applyAlignment="1">
      <alignment horizontal="center" vertical="center"/>
    </xf>
    <xf numFmtId="3" fontId="14" fillId="9" borderId="6" xfId="0" applyNumberFormat="1" applyFont="1" applyFill="1" applyBorder="1" applyAlignment="1">
      <alignment horizontal="center"/>
    </xf>
    <xf numFmtId="3" fontId="14" fillId="9" borderId="7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2" fillId="2" borderId="0" xfId="0" applyFont="1" applyFill="1"/>
    <xf numFmtId="1" fontId="2" fillId="2" borderId="0" xfId="0" applyNumberFormat="1" applyFont="1" applyFill="1"/>
    <xf numFmtId="3" fontId="7" fillId="2" borderId="0" xfId="0" applyNumberFormat="1" applyFont="1" applyFill="1" applyBorder="1" applyAlignment="1">
      <alignment horizontal="right"/>
    </xf>
    <xf numFmtId="3" fontId="7" fillId="2" borderId="0" xfId="0" applyNumberFormat="1" applyFont="1" applyFill="1" applyBorder="1" applyAlignment="1">
      <alignment horizontal="left"/>
    </xf>
  </cellXfs>
  <cellStyles count="7">
    <cellStyle name="Čárka" xfId="6" builtinId="3"/>
    <cellStyle name="Normální" xfId="0" builtinId="0"/>
    <cellStyle name="Normální 2" xfId="2"/>
    <cellStyle name="Normální 2 3" xfId="3"/>
    <cellStyle name="Normální 3" xfId="4"/>
    <cellStyle name="Normální 3 2" xfId="5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copkoval\AppData\Local\Temp\D&#283;k_2016\Rozpo&#269;et_d&#283;kan&#225;t_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vliklu\Desktop\sprava%20budov%20Holice\EX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1 (2)"/>
      <sheetName val="FINAL"/>
      <sheetName val="FINAL_PLAN"/>
      <sheetName val="Souhrn_11_30"/>
      <sheetName val="Souhrn_19"/>
      <sheetName val="3900_2014"/>
      <sheetName val="3900_2014 rez_děkan"/>
      <sheetName val="3900_2014 rez_Dvořák"/>
      <sheetName val="3900_2014 rez_Kubínek"/>
      <sheetName val="3900_2014 rez_Molnár"/>
      <sheetName val="3900_2014 rez_Hradil"/>
      <sheetName val="3901_2014"/>
      <sheetName val="3903_2014"/>
      <sheetName val="3904_2014"/>
      <sheetName val="3905_2014"/>
      <sheetName val="3906_2014"/>
      <sheetName val="3907_2014"/>
      <sheetName val="3908_2014"/>
      <sheetName val="3911_2014"/>
      <sheetName val="3912_2014"/>
      <sheetName val="3913_2014"/>
      <sheetName val="3914_2014"/>
      <sheetName val="3915_2014"/>
      <sheetName val="3916_2014"/>
      <sheetName val="3917_2014"/>
      <sheetName val="3918_2014"/>
      <sheetName val="3950_2014"/>
      <sheetName val="3960_2014"/>
      <sheetName val="3210_2014"/>
      <sheetName val="FINAL_PLAN_CERP"/>
      <sheetName val="k přidání"/>
    </sheetNames>
    <sheetDataSet>
      <sheetData sheetId="0"/>
      <sheetData sheetId="1"/>
      <sheetData sheetId="2"/>
      <sheetData sheetId="3"/>
      <sheetData sheetId="4">
        <row r="10">
          <cell r="B10">
            <v>3900</v>
          </cell>
        </row>
        <row r="11">
          <cell r="B11">
            <v>3901</v>
          </cell>
        </row>
        <row r="12">
          <cell r="B12">
            <v>3903</v>
          </cell>
        </row>
        <row r="13">
          <cell r="B13">
            <v>3904</v>
          </cell>
        </row>
        <row r="14">
          <cell r="B14">
            <v>3905</v>
          </cell>
        </row>
        <row r="15">
          <cell r="B15">
            <v>3906</v>
          </cell>
        </row>
        <row r="16">
          <cell r="B16">
            <v>3907</v>
          </cell>
        </row>
        <row r="17">
          <cell r="B17">
            <v>3908</v>
          </cell>
        </row>
        <row r="22">
          <cell r="B22">
            <v>3912</v>
          </cell>
        </row>
        <row r="24">
          <cell r="B24">
            <v>3915</v>
          </cell>
        </row>
        <row r="26">
          <cell r="B26">
            <v>3917</v>
          </cell>
        </row>
        <row r="27">
          <cell r="B27">
            <v>3918</v>
          </cell>
        </row>
        <row r="28">
          <cell r="B28">
            <v>3960</v>
          </cell>
        </row>
        <row r="29">
          <cell r="B29">
            <v>3210</v>
          </cell>
        </row>
        <row r="41">
          <cell r="B41">
            <v>3911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08">
          <cell r="F108">
            <v>205874.71</v>
          </cell>
        </row>
        <row r="145">
          <cell r="F145">
            <v>86995.43</v>
          </cell>
        </row>
        <row r="153">
          <cell r="F153">
            <v>1923.28</v>
          </cell>
        </row>
        <row r="248">
          <cell r="F248">
            <v>1216114.8600000001</v>
          </cell>
        </row>
        <row r="251">
          <cell r="F251">
            <v>614.84</v>
          </cell>
        </row>
        <row r="253">
          <cell r="F253">
            <v>887.71</v>
          </cell>
        </row>
        <row r="254">
          <cell r="F254">
            <v>2854.45</v>
          </cell>
        </row>
        <row r="258">
          <cell r="F258">
            <v>887.7</v>
          </cell>
        </row>
        <row r="259">
          <cell r="F259">
            <v>2854.45</v>
          </cell>
        </row>
        <row r="261">
          <cell r="F261">
            <v>17831.419999999998</v>
          </cell>
        </row>
        <row r="285">
          <cell r="F285">
            <v>62276.7</v>
          </cell>
        </row>
        <row r="308">
          <cell r="F308">
            <v>44827.839999999997</v>
          </cell>
        </row>
        <row r="320">
          <cell r="F320">
            <v>41531.06</v>
          </cell>
        </row>
        <row r="321">
          <cell r="F321">
            <v>12062.6</v>
          </cell>
        </row>
        <row r="324">
          <cell r="F324">
            <v>12062.6</v>
          </cell>
        </row>
        <row r="333">
          <cell r="F333">
            <v>141250</v>
          </cell>
        </row>
        <row r="336">
          <cell r="F336">
            <v>1403.84</v>
          </cell>
        </row>
        <row r="338">
          <cell r="F338">
            <v>65672.070000000007</v>
          </cell>
        </row>
        <row r="343">
          <cell r="F343">
            <v>10911.73</v>
          </cell>
        </row>
        <row r="374">
          <cell r="F374">
            <v>78437.149999999994</v>
          </cell>
        </row>
        <row r="449">
          <cell r="F449">
            <v>98285.5</v>
          </cell>
        </row>
        <row r="500">
          <cell r="F500">
            <v>252217.04</v>
          </cell>
        </row>
        <row r="526">
          <cell r="F526">
            <v>2943.63</v>
          </cell>
        </row>
        <row r="532">
          <cell r="F532">
            <v>11647.57</v>
          </cell>
        </row>
        <row r="539">
          <cell r="F539">
            <v>23660.5</v>
          </cell>
        </row>
        <row r="564">
          <cell r="F564">
            <v>299507.82</v>
          </cell>
        </row>
        <row r="639">
          <cell r="F639">
            <v>1424984.69</v>
          </cell>
        </row>
        <row r="653">
          <cell r="F653">
            <v>14033.49</v>
          </cell>
        </row>
        <row r="690">
          <cell r="F690">
            <v>6536581</v>
          </cell>
        </row>
        <row r="697">
          <cell r="F697">
            <v>2556</v>
          </cell>
        </row>
        <row r="727">
          <cell r="F727">
            <v>1610551</v>
          </cell>
        </row>
        <row r="746">
          <cell r="F746">
            <v>56166</v>
          </cell>
        </row>
        <row r="791">
          <cell r="F791">
            <v>1480635</v>
          </cell>
        </row>
        <row r="816">
          <cell r="F816">
            <v>59268</v>
          </cell>
        </row>
        <row r="832">
          <cell r="F832">
            <v>1205000</v>
          </cell>
        </row>
        <row r="841">
          <cell r="F841">
            <v>86050</v>
          </cell>
        </row>
        <row r="859">
          <cell r="F859">
            <v>422290</v>
          </cell>
        </row>
        <row r="896">
          <cell r="F896">
            <v>988258.8</v>
          </cell>
        </row>
        <row r="933">
          <cell r="F933">
            <v>2723198.97</v>
          </cell>
        </row>
        <row r="961">
          <cell r="F961">
            <v>46858.400000000001</v>
          </cell>
        </row>
        <row r="974">
          <cell r="F974">
            <v>493669</v>
          </cell>
        </row>
        <row r="986">
          <cell r="F986">
            <v>4237.6899999999996</v>
          </cell>
        </row>
        <row r="1023">
          <cell r="F1023">
            <v>219015.14</v>
          </cell>
        </row>
        <row r="1029">
          <cell r="F1029">
            <v>4860</v>
          </cell>
        </row>
        <row r="1094">
          <cell r="F1094">
            <v>2.19</v>
          </cell>
        </row>
        <row r="1128">
          <cell r="F1128">
            <v>190364</v>
          </cell>
        </row>
        <row r="1286">
          <cell r="F1286">
            <v>8278</v>
          </cell>
        </row>
        <row r="1292">
          <cell r="F1292">
            <v>17665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5"/>
  <sheetViews>
    <sheetView workbookViewId="0">
      <selection activeCell="A36" sqref="A36"/>
    </sheetView>
  </sheetViews>
  <sheetFormatPr defaultRowHeight="14.5" x14ac:dyDescent="0.35"/>
  <cols>
    <col min="2" max="2" width="46.54296875" customWidth="1"/>
    <col min="3" max="3" width="8" customWidth="1"/>
    <col min="4" max="5" width="17" customWidth="1"/>
    <col min="6" max="6" width="14.26953125" customWidth="1"/>
    <col min="7" max="7" width="16.1796875" customWidth="1"/>
    <col min="8" max="8" width="14.26953125" customWidth="1"/>
    <col min="9" max="9" width="17" customWidth="1"/>
    <col min="10" max="10" width="14.26953125" customWidth="1"/>
    <col min="11" max="11" width="17.7265625" customWidth="1"/>
    <col min="12" max="13" width="11.26953125" style="4" bestFit="1" customWidth="1"/>
    <col min="14" max="15" width="15" style="4" bestFit="1" customWidth="1"/>
    <col min="16" max="16" width="17.26953125" customWidth="1"/>
    <col min="17" max="17" width="16" customWidth="1"/>
    <col min="18" max="18" width="16.1796875" customWidth="1"/>
    <col min="19" max="19" width="14.54296875" customWidth="1"/>
    <col min="20" max="20" width="8" customWidth="1"/>
    <col min="21" max="21" width="7.453125" customWidth="1"/>
    <col min="22" max="22" width="15.1796875" customWidth="1"/>
    <col min="25" max="25" width="16" bestFit="1" customWidth="1"/>
    <col min="26" max="26" width="15.1796875" customWidth="1"/>
  </cols>
  <sheetData>
    <row r="1" spans="2:16" ht="21" x14ac:dyDescent="0.5">
      <c r="B1" s="53" t="s">
        <v>39</v>
      </c>
      <c r="C1" s="53"/>
      <c r="D1" s="53"/>
      <c r="E1" s="53"/>
    </row>
    <row r="2" spans="2:16" ht="21" x14ac:dyDescent="0.5">
      <c r="B2" s="53" t="s">
        <v>42</v>
      </c>
      <c r="C2" s="53"/>
      <c r="D2" s="53"/>
      <c r="E2" s="53"/>
    </row>
    <row r="3" spans="2:16" ht="21" x14ac:dyDescent="0.5">
      <c r="B3" s="53"/>
      <c r="C3" s="53"/>
      <c r="D3" s="53"/>
      <c r="E3" s="53"/>
    </row>
    <row r="4" spans="2:16" ht="37.5" thickBot="1" x14ac:dyDescent="0.4">
      <c r="B4" s="45" t="s">
        <v>36</v>
      </c>
      <c r="D4" s="25" t="s">
        <v>0</v>
      </c>
      <c r="E4" s="25" t="s">
        <v>1</v>
      </c>
      <c r="F4" s="25" t="s">
        <v>2</v>
      </c>
      <c r="G4" s="25" t="s">
        <v>3</v>
      </c>
      <c r="H4" s="25" t="s">
        <v>4</v>
      </c>
      <c r="I4" s="25" t="s">
        <v>5</v>
      </c>
      <c r="J4" s="28" t="s">
        <v>13</v>
      </c>
      <c r="K4" s="28" t="s">
        <v>12</v>
      </c>
      <c r="L4" s="47"/>
      <c r="M4" s="47"/>
      <c r="N4" s="48"/>
      <c r="O4" s="48"/>
    </row>
    <row r="5" spans="2:16" x14ac:dyDescent="0.35">
      <c r="B5" s="4" t="s">
        <v>6</v>
      </c>
      <c r="C5" s="26">
        <f>[1]Souhrn_11_30!B10</f>
        <v>3900</v>
      </c>
      <c r="D5" s="22">
        <v>8317801</v>
      </c>
      <c r="E5" s="23">
        <v>274085</v>
      </c>
      <c r="F5" s="23">
        <v>40634</v>
      </c>
      <c r="G5" s="52">
        <v>0</v>
      </c>
      <c r="H5" s="23">
        <v>333</v>
      </c>
      <c r="I5" s="23">
        <v>903781</v>
      </c>
      <c r="J5" s="37">
        <v>72312</v>
      </c>
      <c r="K5" s="29">
        <f>SUM(D5:J5)</f>
        <v>9608946</v>
      </c>
      <c r="L5" s="49"/>
      <c r="M5" s="49"/>
      <c r="N5" s="2"/>
      <c r="O5" s="2"/>
      <c r="P5" s="3"/>
    </row>
    <row r="6" spans="2:16" x14ac:dyDescent="0.35">
      <c r="B6" t="s">
        <v>14</v>
      </c>
      <c r="C6" s="26">
        <f>[1]Souhrn_11_30!B11</f>
        <v>3901</v>
      </c>
      <c r="D6" s="24">
        <v>3556046</v>
      </c>
      <c r="E6" s="11">
        <v>22330</v>
      </c>
      <c r="F6" s="11">
        <v>0</v>
      </c>
      <c r="G6" s="11">
        <v>0</v>
      </c>
      <c r="H6" s="11">
        <v>2327</v>
      </c>
      <c r="I6" s="11">
        <v>6594</v>
      </c>
      <c r="J6" s="34"/>
      <c r="K6" s="29">
        <f t="shared" ref="K6:K23" si="0">SUM(D6:J6)</f>
        <v>3587297</v>
      </c>
      <c r="L6" s="49"/>
      <c r="M6" s="49"/>
      <c r="N6" s="2"/>
      <c r="O6" s="2"/>
      <c r="P6" s="3"/>
    </row>
    <row r="7" spans="2:16" x14ac:dyDescent="0.35">
      <c r="B7" t="s">
        <v>15</v>
      </c>
      <c r="C7" s="26">
        <f>[1]Souhrn_11_30!B12</f>
        <v>3903</v>
      </c>
      <c r="D7" s="24">
        <v>3270330</v>
      </c>
      <c r="E7" s="11">
        <v>49519</v>
      </c>
      <c r="F7" s="11">
        <v>700</v>
      </c>
      <c r="G7" s="11">
        <v>0</v>
      </c>
      <c r="H7" s="11">
        <v>2117</v>
      </c>
      <c r="I7" s="11">
        <v>39044</v>
      </c>
      <c r="J7" s="34"/>
      <c r="K7" s="29">
        <f t="shared" si="0"/>
        <v>3361710</v>
      </c>
      <c r="L7" s="49"/>
      <c r="M7" s="49"/>
      <c r="N7" s="2"/>
      <c r="O7" s="2"/>
      <c r="P7" s="3"/>
    </row>
    <row r="8" spans="2:16" x14ac:dyDescent="0.35">
      <c r="B8" t="s">
        <v>16</v>
      </c>
      <c r="C8" s="26">
        <f>[1]Souhrn_11_30!B13</f>
        <v>3904</v>
      </c>
      <c r="D8" s="24">
        <v>618783</v>
      </c>
      <c r="E8" s="11">
        <v>24717</v>
      </c>
      <c r="F8" s="11">
        <v>1172</v>
      </c>
      <c r="G8" s="11">
        <v>0</v>
      </c>
      <c r="H8" s="11">
        <v>2945</v>
      </c>
      <c r="I8" s="11">
        <v>12233</v>
      </c>
      <c r="J8" s="34"/>
      <c r="K8" s="29">
        <f t="shared" si="0"/>
        <v>659850</v>
      </c>
      <c r="L8" s="49"/>
      <c r="M8" s="49"/>
      <c r="N8" s="2"/>
      <c r="O8" s="2"/>
      <c r="P8" s="3"/>
    </row>
    <row r="9" spans="2:16" x14ac:dyDescent="0.35">
      <c r="B9" t="s">
        <v>17</v>
      </c>
      <c r="C9" s="26">
        <f>[1]Souhrn_11_30!B14</f>
        <v>3905</v>
      </c>
      <c r="D9" s="24">
        <v>1175969</v>
      </c>
      <c r="E9" s="11">
        <v>12711</v>
      </c>
      <c r="F9" s="11">
        <v>9804</v>
      </c>
      <c r="G9" s="11">
        <v>0</v>
      </c>
      <c r="H9" s="11">
        <v>2174</v>
      </c>
      <c r="I9" s="11">
        <v>4365</v>
      </c>
      <c r="J9" s="34"/>
      <c r="K9" s="29">
        <f t="shared" si="0"/>
        <v>1205023</v>
      </c>
      <c r="L9" s="49"/>
      <c r="M9" s="49"/>
      <c r="N9" s="2"/>
      <c r="O9" s="2"/>
      <c r="P9" s="3"/>
    </row>
    <row r="10" spans="2:16" x14ac:dyDescent="0.35">
      <c r="B10" t="s">
        <v>18</v>
      </c>
      <c r="C10" s="26">
        <f>[1]Souhrn_11_30!B15</f>
        <v>3906</v>
      </c>
      <c r="D10" s="24">
        <v>1290889</v>
      </c>
      <c r="E10" s="11">
        <v>129087</v>
      </c>
      <c r="F10" s="11">
        <v>8221</v>
      </c>
      <c r="G10" s="11">
        <v>0</v>
      </c>
      <c r="H10" s="11">
        <v>665</v>
      </c>
      <c r="I10" s="11">
        <v>216526</v>
      </c>
      <c r="J10" s="34"/>
      <c r="K10" s="29">
        <f t="shared" si="0"/>
        <v>1645388</v>
      </c>
      <c r="L10" s="49"/>
      <c r="M10" s="49"/>
      <c r="N10" s="2"/>
      <c r="O10" s="2"/>
      <c r="P10" s="3"/>
    </row>
    <row r="11" spans="2:16" x14ac:dyDescent="0.35">
      <c r="B11" s="4" t="s">
        <v>19</v>
      </c>
      <c r="C11" s="26">
        <f>[1]Souhrn_11_30!B16</f>
        <v>3907</v>
      </c>
      <c r="D11" s="24">
        <v>4470761</v>
      </c>
      <c r="E11" s="11">
        <v>249991</v>
      </c>
      <c r="F11" s="11">
        <v>5555</v>
      </c>
      <c r="G11" s="11">
        <v>0</v>
      </c>
      <c r="H11" s="11">
        <v>14869</v>
      </c>
      <c r="I11" s="11">
        <v>68804</v>
      </c>
      <c r="J11" s="34"/>
      <c r="K11" s="29">
        <f t="shared" si="0"/>
        <v>4809980</v>
      </c>
      <c r="L11" s="49"/>
      <c r="M11" s="49"/>
      <c r="N11" s="2"/>
      <c r="O11" s="2"/>
      <c r="P11" s="3"/>
    </row>
    <row r="12" spans="2:16" x14ac:dyDescent="0.35">
      <c r="B12" t="s">
        <v>20</v>
      </c>
      <c r="C12" s="26">
        <f>[1]Souhrn_11_30!B17</f>
        <v>3908</v>
      </c>
      <c r="D12" s="24">
        <v>2666795</v>
      </c>
      <c r="E12" s="11">
        <v>17277</v>
      </c>
      <c r="F12" s="11">
        <v>4629</v>
      </c>
      <c r="G12" s="11">
        <v>0</v>
      </c>
      <c r="H12" s="11">
        <v>1330</v>
      </c>
      <c r="I12" s="11">
        <v>210512</v>
      </c>
      <c r="J12" s="34"/>
      <c r="K12" s="29">
        <f t="shared" si="0"/>
        <v>2900543</v>
      </c>
      <c r="L12" s="49"/>
      <c r="M12" s="49"/>
      <c r="N12" s="2"/>
      <c r="O12" s="2"/>
      <c r="P12" s="3"/>
    </row>
    <row r="13" spans="2:16" x14ac:dyDescent="0.35">
      <c r="B13" s="1" t="s">
        <v>21</v>
      </c>
      <c r="C13" s="26">
        <f>[1]Souhrn_11_30!B41</f>
        <v>3911</v>
      </c>
      <c r="D13" s="24">
        <v>10255009</v>
      </c>
      <c r="E13" s="11">
        <v>1936063</v>
      </c>
      <c r="F13" s="11">
        <v>2035</v>
      </c>
      <c r="G13" s="11">
        <v>0</v>
      </c>
      <c r="H13" s="11">
        <v>1822207</v>
      </c>
      <c r="I13" s="11">
        <v>1917377</v>
      </c>
      <c r="J13" s="34">
        <v>677373</v>
      </c>
      <c r="K13" s="29">
        <f t="shared" si="0"/>
        <v>16610064</v>
      </c>
      <c r="L13" s="49"/>
      <c r="M13" s="49"/>
      <c r="N13" s="2"/>
      <c r="O13" s="2"/>
      <c r="P13" s="3"/>
    </row>
    <row r="14" spans="2:16" x14ac:dyDescent="0.35">
      <c r="B14" s="1" t="s">
        <v>31</v>
      </c>
      <c r="C14" s="26">
        <v>3921</v>
      </c>
      <c r="D14" s="24">
        <v>0</v>
      </c>
      <c r="E14" s="11">
        <v>0</v>
      </c>
      <c r="F14" s="11">
        <v>0</v>
      </c>
      <c r="G14" s="29">
        <v>3782530</v>
      </c>
      <c r="H14" s="11">
        <v>0</v>
      </c>
      <c r="I14" s="11">
        <v>0</v>
      </c>
      <c r="J14" s="34"/>
      <c r="K14" s="29">
        <f t="shared" si="0"/>
        <v>3782530</v>
      </c>
      <c r="L14" s="49"/>
      <c r="M14" s="49"/>
      <c r="N14" s="2"/>
      <c r="O14" s="2"/>
      <c r="P14" s="3"/>
    </row>
    <row r="15" spans="2:16" x14ac:dyDescent="0.35">
      <c r="B15" s="1" t="s">
        <v>34</v>
      </c>
      <c r="C15" s="26">
        <v>3940</v>
      </c>
      <c r="D15" s="24">
        <v>0</v>
      </c>
      <c r="E15" s="11">
        <v>0</v>
      </c>
      <c r="F15" s="11">
        <v>0</v>
      </c>
      <c r="G15" s="11">
        <v>1133162</v>
      </c>
      <c r="H15" s="11">
        <v>0</v>
      </c>
      <c r="I15" s="11">
        <v>0</v>
      </c>
      <c r="J15" s="34"/>
      <c r="K15" s="29">
        <f t="shared" si="0"/>
        <v>1133162</v>
      </c>
      <c r="L15" s="49"/>
      <c r="M15" s="49"/>
      <c r="N15" s="2"/>
      <c r="O15" s="2"/>
      <c r="P15" s="3"/>
    </row>
    <row r="16" spans="2:16" x14ac:dyDescent="0.35">
      <c r="B16" s="1" t="s">
        <v>33</v>
      </c>
      <c r="C16" s="26">
        <f>[1]Souhrn_11_30!B22</f>
        <v>3912</v>
      </c>
      <c r="D16" s="24">
        <v>6893988</v>
      </c>
      <c r="E16" s="11">
        <v>1012075</v>
      </c>
      <c r="F16" s="11">
        <v>0</v>
      </c>
      <c r="G16" s="11">
        <v>0</v>
      </c>
      <c r="H16" s="11">
        <v>689998</v>
      </c>
      <c r="I16" s="11">
        <v>1353518</v>
      </c>
      <c r="J16" s="34">
        <v>273011</v>
      </c>
      <c r="K16" s="29">
        <f t="shared" si="0"/>
        <v>10222590</v>
      </c>
      <c r="L16" s="49"/>
      <c r="M16" s="49"/>
      <c r="N16" s="2"/>
      <c r="O16" s="2"/>
      <c r="P16" s="3"/>
    </row>
    <row r="17" spans="2:22" x14ac:dyDescent="0.35">
      <c r="B17" s="1" t="s">
        <v>32</v>
      </c>
      <c r="C17" s="26">
        <v>3922</v>
      </c>
      <c r="D17" s="24">
        <v>0</v>
      </c>
      <c r="E17" s="11">
        <v>0</v>
      </c>
      <c r="F17" s="11">
        <v>0</v>
      </c>
      <c r="G17" s="29">
        <v>2809111</v>
      </c>
      <c r="H17" s="11">
        <v>0</v>
      </c>
      <c r="I17" s="11">
        <v>0</v>
      </c>
      <c r="J17" s="34"/>
      <c r="K17" s="29">
        <f t="shared" si="0"/>
        <v>2809111</v>
      </c>
      <c r="L17" s="49"/>
      <c r="M17" s="49"/>
      <c r="N17" s="2"/>
      <c r="O17" s="2"/>
      <c r="P17" s="3"/>
    </row>
    <row r="18" spans="2:22" x14ac:dyDescent="0.35">
      <c r="B18" s="4" t="s">
        <v>22</v>
      </c>
      <c r="C18" s="26">
        <f>[1]Souhrn_11_30!B24</f>
        <v>3915</v>
      </c>
      <c r="D18" s="24">
        <v>652453</v>
      </c>
      <c r="E18" s="11">
        <v>39882</v>
      </c>
      <c r="F18" s="11">
        <v>3990</v>
      </c>
      <c r="G18" s="11">
        <v>63668</v>
      </c>
      <c r="H18" s="11">
        <v>2034</v>
      </c>
      <c r="I18" s="11">
        <v>46817</v>
      </c>
      <c r="J18" s="34"/>
      <c r="K18" s="29">
        <f t="shared" si="0"/>
        <v>808844</v>
      </c>
      <c r="L18" s="49"/>
      <c r="M18" s="49"/>
      <c r="N18" s="2"/>
      <c r="O18" s="2"/>
      <c r="P18" s="3"/>
    </row>
    <row r="19" spans="2:22" x14ac:dyDescent="0.35">
      <c r="B19" t="s">
        <v>23</v>
      </c>
      <c r="C19" s="26">
        <f>[1]Souhrn_11_30!B26</f>
        <v>3917</v>
      </c>
      <c r="D19" s="24">
        <v>23641</v>
      </c>
      <c r="E19" s="11">
        <v>12162</v>
      </c>
      <c r="F19" s="11">
        <v>0</v>
      </c>
      <c r="G19" s="11">
        <v>139306</v>
      </c>
      <c r="H19" s="11">
        <v>0</v>
      </c>
      <c r="I19" s="11">
        <v>4547</v>
      </c>
      <c r="J19" s="34"/>
      <c r="K19" s="29">
        <f t="shared" si="0"/>
        <v>179656</v>
      </c>
      <c r="L19" s="49"/>
      <c r="M19" s="49"/>
      <c r="N19" s="2"/>
      <c r="O19" s="2"/>
      <c r="P19" s="3"/>
    </row>
    <row r="20" spans="2:22" x14ac:dyDescent="0.35">
      <c r="B20" t="s">
        <v>24</v>
      </c>
      <c r="C20" s="26">
        <f>[1]Souhrn_11_30!B27</f>
        <v>3918</v>
      </c>
      <c r="D20" s="24">
        <v>954253</v>
      </c>
      <c r="E20" s="11">
        <v>93480</v>
      </c>
      <c r="F20" s="11">
        <v>960</v>
      </c>
      <c r="G20" s="11">
        <v>0</v>
      </c>
      <c r="H20" s="11">
        <v>38036</v>
      </c>
      <c r="I20" s="11">
        <v>153261</v>
      </c>
      <c r="J20" s="34">
        <v>30222</v>
      </c>
      <c r="K20" s="29">
        <f t="shared" si="0"/>
        <v>1270212</v>
      </c>
      <c r="L20" s="49"/>
      <c r="M20" s="49"/>
      <c r="N20" s="2"/>
      <c r="O20" s="2"/>
      <c r="P20" s="3"/>
    </row>
    <row r="21" spans="2:22" x14ac:dyDescent="0.35">
      <c r="B21" t="s">
        <v>35</v>
      </c>
      <c r="C21" s="26">
        <v>3740</v>
      </c>
      <c r="D21" s="24">
        <v>3867431</v>
      </c>
      <c r="E21" s="11">
        <v>248977</v>
      </c>
      <c r="F21" s="11">
        <v>62240</v>
      </c>
      <c r="G21" s="11">
        <v>0</v>
      </c>
      <c r="H21" s="11">
        <v>4961</v>
      </c>
      <c r="I21" s="11">
        <v>206929</v>
      </c>
      <c r="J21" s="34">
        <v>48038</v>
      </c>
      <c r="K21" s="29">
        <f t="shared" si="0"/>
        <v>4438576</v>
      </c>
      <c r="L21" s="49"/>
      <c r="M21" s="49"/>
      <c r="N21" s="2"/>
      <c r="O21" s="2"/>
      <c r="P21" s="3"/>
    </row>
    <row r="22" spans="2:22" x14ac:dyDescent="0.35">
      <c r="B22" t="s">
        <v>25</v>
      </c>
      <c r="C22" s="26">
        <f>[1]Souhrn_11_30!B28</f>
        <v>3960</v>
      </c>
      <c r="D22" s="24">
        <v>1347694</v>
      </c>
      <c r="E22" s="11">
        <v>37937</v>
      </c>
      <c r="F22" s="11">
        <v>33316</v>
      </c>
      <c r="G22" s="11">
        <v>0</v>
      </c>
      <c r="H22" s="11">
        <v>0</v>
      </c>
      <c r="I22" s="11">
        <v>6483</v>
      </c>
      <c r="J22" s="34"/>
      <c r="K22" s="29">
        <f t="shared" si="0"/>
        <v>1425430</v>
      </c>
      <c r="L22" s="49"/>
      <c r="M22" s="49"/>
      <c r="N22" s="2"/>
      <c r="O22" s="2"/>
      <c r="P22" s="3"/>
    </row>
    <row r="23" spans="2:22" ht="15" thickBot="1" x14ac:dyDescent="0.4">
      <c r="B23" t="s">
        <v>26</v>
      </c>
      <c r="C23" s="26">
        <f>[1]Souhrn_11_30!B29</f>
        <v>3210</v>
      </c>
      <c r="D23" s="38">
        <v>2571155</v>
      </c>
      <c r="E23" s="39">
        <v>61668</v>
      </c>
      <c r="F23" s="39">
        <v>40139</v>
      </c>
      <c r="G23" s="39">
        <v>0</v>
      </c>
      <c r="H23" s="39">
        <v>0</v>
      </c>
      <c r="I23" s="39">
        <v>78551</v>
      </c>
      <c r="J23" s="40"/>
      <c r="K23" s="29">
        <f t="shared" si="0"/>
        <v>2751513</v>
      </c>
      <c r="L23" s="49"/>
      <c r="M23" s="49"/>
      <c r="N23" s="2"/>
      <c r="O23" s="2"/>
      <c r="P23" s="3"/>
    </row>
    <row r="24" spans="2:22" x14ac:dyDescent="0.35">
      <c r="C24" s="26"/>
      <c r="D24" s="11"/>
      <c r="E24" s="11"/>
      <c r="F24" s="11"/>
      <c r="G24" s="11"/>
      <c r="H24" s="11"/>
      <c r="I24" s="11"/>
      <c r="J24" s="11"/>
      <c r="K24" s="29"/>
      <c r="L24" s="49"/>
      <c r="M24" s="49"/>
      <c r="N24" s="2"/>
      <c r="O24" s="2"/>
      <c r="P24" s="3"/>
    </row>
    <row r="25" spans="2:22" x14ac:dyDescent="0.35">
      <c r="C25" s="26"/>
      <c r="D25" s="27">
        <f t="shared" ref="D25:J25" si="1">SUM(D5:D23)</f>
        <v>51932998</v>
      </c>
      <c r="E25" s="27">
        <f t="shared" si="1"/>
        <v>4221961</v>
      </c>
      <c r="F25" s="27">
        <f t="shared" si="1"/>
        <v>213395</v>
      </c>
      <c r="G25" s="27">
        <f t="shared" si="1"/>
        <v>7927777</v>
      </c>
      <c r="H25" s="27">
        <f t="shared" si="1"/>
        <v>2583996</v>
      </c>
      <c r="I25" s="27">
        <f t="shared" si="1"/>
        <v>5229342</v>
      </c>
      <c r="J25" s="27">
        <f t="shared" si="1"/>
        <v>1100956</v>
      </c>
      <c r="K25" s="27">
        <f>SUM(D25:J25)</f>
        <v>73210425</v>
      </c>
      <c r="N25" s="7"/>
      <c r="O25" s="7"/>
    </row>
    <row r="26" spans="2:22" x14ac:dyDescent="0.35">
      <c r="D26" s="6"/>
      <c r="E26" s="5"/>
      <c r="F26" s="6"/>
      <c r="G26" s="5"/>
      <c r="H26" s="6"/>
      <c r="I26" s="5"/>
      <c r="J26" s="6"/>
      <c r="K26" s="5"/>
      <c r="L26" s="30"/>
      <c r="M26" s="7"/>
      <c r="N26" s="31"/>
      <c r="O26" s="31"/>
      <c r="P26" s="6"/>
      <c r="Q26" s="5"/>
      <c r="R26" s="7"/>
      <c r="S26" s="7"/>
      <c r="T26" s="7"/>
      <c r="U26" s="7"/>
      <c r="V26" s="7"/>
    </row>
    <row r="27" spans="2:22" ht="15" thickBot="1" x14ac:dyDescent="0.4">
      <c r="D27" s="6"/>
      <c r="E27" s="5"/>
      <c r="F27" s="6"/>
      <c r="G27" s="5"/>
      <c r="H27" s="6"/>
      <c r="I27" s="5"/>
      <c r="J27" s="6"/>
      <c r="K27" s="5"/>
      <c r="L27" s="30"/>
      <c r="M27" s="7"/>
      <c r="N27" s="31"/>
      <c r="O27" s="31"/>
      <c r="P27" s="6"/>
      <c r="Q27" s="5"/>
      <c r="R27" s="7"/>
      <c r="S27" s="7"/>
      <c r="T27" s="7"/>
      <c r="U27" s="7"/>
      <c r="V27" s="7"/>
    </row>
    <row r="28" spans="2:22" ht="15" thickBot="1" x14ac:dyDescent="0.4">
      <c r="B28" s="8" t="s">
        <v>40</v>
      </c>
      <c r="C28" s="9"/>
      <c r="D28" s="10"/>
      <c r="F28" s="12" t="s">
        <v>37</v>
      </c>
      <c r="I28" s="13" t="s">
        <v>38</v>
      </c>
      <c r="R28" s="3"/>
      <c r="S28" s="3"/>
    </row>
    <row r="29" spans="2:22" x14ac:dyDescent="0.35">
      <c r="B29" s="14" t="s">
        <v>7</v>
      </c>
      <c r="C29" s="33"/>
      <c r="D29" s="35">
        <v>600000</v>
      </c>
      <c r="F29" s="32" t="s">
        <v>27</v>
      </c>
      <c r="G29" s="51">
        <v>73210425</v>
      </c>
      <c r="I29" s="32" t="s">
        <v>28</v>
      </c>
      <c r="J29" s="42">
        <f>73837000</f>
        <v>73837000</v>
      </c>
      <c r="K29" s="29">
        <v>2885000</v>
      </c>
      <c r="L29" s="4" t="s">
        <v>43</v>
      </c>
      <c r="Q29" s="15"/>
      <c r="R29" s="3"/>
    </row>
    <row r="30" spans="2:22" x14ac:dyDescent="0.35">
      <c r="B30" s="16" t="s">
        <v>8</v>
      </c>
      <c r="C30" s="18"/>
      <c r="D30" s="35">
        <v>92069.04</v>
      </c>
      <c r="E30" s="3"/>
      <c r="F30" s="17" t="s">
        <v>41</v>
      </c>
      <c r="G30" s="44">
        <v>2975492</v>
      </c>
      <c r="I30" s="46" t="s">
        <v>29</v>
      </c>
      <c r="J30" s="44">
        <v>11926480.869999999</v>
      </c>
      <c r="R30" s="18"/>
      <c r="S30" s="3"/>
    </row>
    <row r="31" spans="2:22" ht="15" thickBot="1" x14ac:dyDescent="0.4">
      <c r="B31" s="16" t="s">
        <v>9</v>
      </c>
      <c r="C31" s="26"/>
      <c r="D31" s="35">
        <v>2283422.79</v>
      </c>
      <c r="F31" s="17" t="s">
        <v>30</v>
      </c>
      <c r="G31" s="57">
        <v>2077778</v>
      </c>
      <c r="H31" t="s">
        <v>43</v>
      </c>
      <c r="I31" s="17"/>
      <c r="J31" s="41"/>
      <c r="R31" s="3"/>
    </row>
    <row r="32" spans="2:22" ht="15" thickBot="1" x14ac:dyDescent="0.4">
      <c r="B32" s="19" t="s">
        <v>10</v>
      </c>
      <c r="C32" s="20"/>
      <c r="D32" s="36">
        <f>SUM(D29:D31)</f>
        <v>2975491.83</v>
      </c>
      <c r="F32" s="21" t="s">
        <v>11</v>
      </c>
      <c r="G32" s="43">
        <f>G29+G30+G31</f>
        <v>78263695</v>
      </c>
      <c r="I32" s="21" t="s">
        <v>11</v>
      </c>
      <c r="J32" s="43">
        <f>J29+J30</f>
        <v>85763480.870000005</v>
      </c>
      <c r="K32" s="50"/>
      <c r="R32" s="3"/>
    </row>
    <row r="33" spans="5:18" ht="111" customHeight="1" x14ac:dyDescent="0.35">
      <c r="E33" s="56" t="s">
        <v>43</v>
      </c>
      <c r="F33" s="592" t="s">
        <v>44</v>
      </c>
      <c r="G33" s="592"/>
      <c r="H33" s="58" t="s">
        <v>43</v>
      </c>
      <c r="I33" s="592" t="s">
        <v>45</v>
      </c>
      <c r="J33" s="592"/>
      <c r="K33" s="592"/>
      <c r="R33" s="3"/>
    </row>
    <row r="34" spans="5:18" x14ac:dyDescent="0.35">
      <c r="F34" s="54"/>
      <c r="G34" s="55"/>
      <c r="J34" s="50"/>
      <c r="R34" s="3"/>
    </row>
    <row r="35" spans="5:18" x14ac:dyDescent="0.35">
      <c r="G35" s="59"/>
      <c r="J35" s="50"/>
    </row>
  </sheetData>
  <mergeCells count="2">
    <mergeCell ref="F33:G33"/>
    <mergeCell ref="I33:K33"/>
  </mergeCells>
  <pageMargins left="0.7" right="0.7" top="0.75" bottom="0.75" header="0.3" footer="0.3"/>
  <pageSetup paperSize="9" scale="68" orientation="landscape" verticalDpi="0" r:id="rId1"/>
  <ignoredErrors>
    <ignoredError sqref="K14:K15 K17 K2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0"/>
  <sheetViews>
    <sheetView workbookViewId="0">
      <selection activeCell="A2" sqref="A2"/>
    </sheetView>
  </sheetViews>
  <sheetFormatPr defaultColWidth="9.1796875" defaultRowHeight="14.5" x14ac:dyDescent="0.35"/>
  <cols>
    <col min="1" max="1" width="37.81640625" style="346" bestFit="1" customWidth="1"/>
    <col min="2" max="3" width="19.453125" style="346" customWidth="1"/>
    <col min="4" max="4" width="24" style="346" customWidth="1"/>
    <col min="5" max="5" width="18.453125" style="346" customWidth="1"/>
    <col min="6" max="6" width="16.54296875" style="346" customWidth="1"/>
    <col min="7" max="7" width="9.1796875" style="396"/>
    <col min="8" max="16384" width="9.1796875" style="346"/>
  </cols>
  <sheetData>
    <row r="1" spans="1:7" ht="24" thickBot="1" x14ac:dyDescent="0.6">
      <c r="A1" s="207" t="s">
        <v>161</v>
      </c>
      <c r="B1" s="347"/>
      <c r="C1" s="347"/>
      <c r="D1" s="347"/>
    </row>
    <row r="2" spans="1:7" ht="19" thickBot="1" x14ac:dyDescent="0.5">
      <c r="A2" s="82" t="s">
        <v>128</v>
      </c>
      <c r="B2" s="239" t="s">
        <v>134</v>
      </c>
      <c r="C2" s="240" t="s">
        <v>163</v>
      </c>
      <c r="D2" s="240" t="s">
        <v>164</v>
      </c>
      <c r="E2" s="532"/>
      <c r="F2" s="396"/>
    </row>
    <row r="3" spans="1:7" ht="15" thickBot="1" x14ac:dyDescent="0.4">
      <c r="A3" s="203" t="s">
        <v>77</v>
      </c>
      <c r="B3" s="398"/>
      <c r="C3" s="204"/>
      <c r="D3" s="204"/>
    </row>
    <row r="4" spans="1:7" x14ac:dyDescent="0.35">
      <c r="A4" s="350" t="s">
        <v>78</v>
      </c>
      <c r="B4" s="172">
        <v>1096</v>
      </c>
      <c r="C4" s="211"/>
      <c r="D4" s="211">
        <f>1116*1.05</f>
        <v>1171.8</v>
      </c>
      <c r="E4" s="175" t="s">
        <v>173</v>
      </c>
      <c r="G4" s="403"/>
    </row>
    <row r="5" spans="1:7" x14ac:dyDescent="0.35">
      <c r="A5" s="352" t="s">
        <v>79</v>
      </c>
      <c r="B5" s="155">
        <v>100</v>
      </c>
      <c r="C5" s="212"/>
      <c r="D5" s="212">
        <v>140</v>
      </c>
      <c r="G5" s="11"/>
    </row>
    <row r="6" spans="1:7" x14ac:dyDescent="0.35">
      <c r="A6" s="352" t="s">
        <v>80</v>
      </c>
      <c r="B6" s="155">
        <v>433</v>
      </c>
      <c r="C6" s="155"/>
      <c r="D6" s="155">
        <f>(D4+D5)*0.3642</f>
        <v>477.75756000000001</v>
      </c>
      <c r="G6" s="403"/>
    </row>
    <row r="7" spans="1:7" x14ac:dyDescent="0.35">
      <c r="A7" s="352" t="s">
        <v>81</v>
      </c>
      <c r="B7" s="226"/>
      <c r="C7" s="213"/>
      <c r="D7" s="213"/>
      <c r="G7" s="403"/>
    </row>
    <row r="8" spans="1:7" x14ac:dyDescent="0.35">
      <c r="A8" s="352" t="s">
        <v>142</v>
      </c>
      <c r="B8" s="226"/>
      <c r="C8" s="213"/>
      <c r="D8" s="213"/>
      <c r="G8" s="403"/>
    </row>
    <row r="9" spans="1:7" x14ac:dyDescent="0.35">
      <c r="A9" s="352" t="s">
        <v>82</v>
      </c>
      <c r="B9" s="173">
        <v>156</v>
      </c>
      <c r="C9" s="212"/>
      <c r="D9" s="154">
        <v>180</v>
      </c>
      <c r="G9" s="403"/>
    </row>
    <row r="10" spans="1:7" x14ac:dyDescent="0.35">
      <c r="A10" s="352" t="s">
        <v>83</v>
      </c>
      <c r="B10" s="155">
        <v>23</v>
      </c>
      <c r="C10" s="212"/>
      <c r="D10" s="212">
        <v>28</v>
      </c>
      <c r="G10" s="403"/>
    </row>
    <row r="11" spans="1:7" x14ac:dyDescent="0.35">
      <c r="A11" s="352" t="s">
        <v>84</v>
      </c>
      <c r="B11" s="155"/>
      <c r="C11" s="212"/>
      <c r="D11" s="212"/>
      <c r="G11" s="403"/>
    </row>
    <row r="12" spans="1:7" ht="15" thickBot="1" x14ac:dyDescent="0.4">
      <c r="A12" s="231"/>
      <c r="B12" s="271"/>
      <c r="C12" s="214"/>
      <c r="D12" s="214"/>
      <c r="G12" s="403"/>
    </row>
    <row r="13" spans="1:7" ht="15" thickBot="1" x14ac:dyDescent="0.4">
      <c r="A13" s="353" t="s">
        <v>85</v>
      </c>
      <c r="B13" s="270">
        <f>SUM(B4:B12)</f>
        <v>1808</v>
      </c>
      <c r="C13" s="215">
        <v>1388</v>
      </c>
      <c r="D13" s="215">
        <f>SUM(D4:D12)</f>
        <v>1997.55756</v>
      </c>
      <c r="G13" s="403"/>
    </row>
    <row r="14" spans="1:7" ht="15" thickBot="1" x14ac:dyDescent="0.4">
      <c r="A14" s="194"/>
      <c r="B14" s="272"/>
      <c r="C14" s="195"/>
      <c r="D14" s="195"/>
      <c r="G14" s="403"/>
    </row>
    <row r="15" spans="1:7" ht="15" thickBot="1" x14ac:dyDescent="0.4">
      <c r="A15" s="199" t="s">
        <v>1</v>
      </c>
      <c r="B15" s="533"/>
      <c r="C15" s="200"/>
      <c r="D15" s="200"/>
      <c r="G15" s="403"/>
    </row>
    <row r="16" spans="1:7" x14ac:dyDescent="0.35">
      <c r="A16" s="357" t="s">
        <v>86</v>
      </c>
      <c r="B16" s="96">
        <v>20</v>
      </c>
      <c r="C16" s="216"/>
      <c r="D16" s="216">
        <v>20</v>
      </c>
      <c r="G16" s="11"/>
    </row>
    <row r="17" spans="1:7" x14ac:dyDescent="0.35">
      <c r="A17" s="234" t="s">
        <v>87</v>
      </c>
      <c r="B17" s="255">
        <v>30</v>
      </c>
      <c r="C17" s="217"/>
      <c r="D17" s="217">
        <v>20</v>
      </c>
      <c r="G17" s="403"/>
    </row>
    <row r="18" spans="1:7" x14ac:dyDescent="0.35">
      <c r="A18" s="234" t="s">
        <v>88</v>
      </c>
      <c r="B18" s="255">
        <v>30</v>
      </c>
      <c r="C18" s="217"/>
      <c r="D18" s="217">
        <v>30</v>
      </c>
      <c r="G18" s="403"/>
    </row>
    <row r="19" spans="1:7" x14ac:dyDescent="0.35">
      <c r="A19" s="358" t="s">
        <v>89</v>
      </c>
      <c r="B19" s="546">
        <v>180</v>
      </c>
      <c r="C19" s="165"/>
      <c r="D19" s="217">
        <v>100</v>
      </c>
      <c r="G19" s="403"/>
    </row>
    <row r="20" spans="1:7" ht="15" thickBot="1" x14ac:dyDescent="0.4">
      <c r="A20" s="358"/>
      <c r="B20" s="536"/>
      <c r="C20" s="218"/>
      <c r="D20" s="218"/>
      <c r="G20" s="403"/>
    </row>
    <row r="21" spans="1:7" ht="15" thickBot="1" x14ac:dyDescent="0.4">
      <c r="A21" s="360" t="s">
        <v>85</v>
      </c>
      <c r="B21" s="257">
        <f>SUM(B16:B20)</f>
        <v>260</v>
      </c>
      <c r="C21" s="269">
        <v>31</v>
      </c>
      <c r="D21" s="269">
        <f>SUM(D16:D20)</f>
        <v>170</v>
      </c>
      <c r="G21" s="403"/>
    </row>
    <row r="22" spans="1:7" ht="15" thickBot="1" x14ac:dyDescent="0.4">
      <c r="A22" s="194"/>
      <c r="B22" s="35"/>
      <c r="C22" s="198"/>
      <c r="D22" s="198"/>
      <c r="G22" s="403"/>
    </row>
    <row r="23" spans="1:7" ht="15" thickBot="1" x14ac:dyDescent="0.4">
      <c r="A23" s="205" t="s">
        <v>2</v>
      </c>
      <c r="B23" s="537"/>
      <c r="C23" s="206"/>
      <c r="D23" s="206"/>
      <c r="G23" s="403"/>
    </row>
    <row r="24" spans="1:7" ht="15" thickBot="1" x14ac:dyDescent="0.4">
      <c r="A24" s="364" t="s">
        <v>90</v>
      </c>
      <c r="B24" s="547">
        <v>20</v>
      </c>
      <c r="C24" s="548"/>
      <c r="D24" s="243">
        <v>20</v>
      </c>
      <c r="G24" s="403"/>
    </row>
    <row r="25" spans="1:7" ht="15" thickBot="1" x14ac:dyDescent="0.4">
      <c r="A25" s="366" t="s">
        <v>85</v>
      </c>
      <c r="B25" s="261">
        <f>SUM(B24)</f>
        <v>20</v>
      </c>
      <c r="C25" s="261">
        <v>1</v>
      </c>
      <c r="D25" s="169">
        <f>SUM(D24)</f>
        <v>20</v>
      </c>
      <c r="G25" s="403"/>
    </row>
    <row r="26" spans="1:7" x14ac:dyDescent="0.35">
      <c r="A26" s="194"/>
      <c r="B26" s="35"/>
      <c r="C26" s="198"/>
      <c r="D26" s="198"/>
      <c r="G26" s="403"/>
    </row>
    <row r="27" spans="1:7" ht="15" thickBot="1" x14ac:dyDescent="0.4">
      <c r="A27" s="194"/>
      <c r="B27" s="35"/>
      <c r="C27" s="198"/>
      <c r="D27" s="198"/>
      <c r="G27" s="403"/>
    </row>
    <row r="28" spans="1:7" ht="15" thickBot="1" x14ac:dyDescent="0.4">
      <c r="A28" s="202" t="s">
        <v>91</v>
      </c>
      <c r="B28" s="456"/>
      <c r="C28" s="208"/>
      <c r="D28" s="208"/>
      <c r="G28" s="403"/>
    </row>
    <row r="29" spans="1:7" ht="15" thickBot="1" x14ac:dyDescent="0.4">
      <c r="A29" s="370" t="s">
        <v>92</v>
      </c>
      <c r="B29" s="263">
        <v>5</v>
      </c>
      <c r="C29" s="246"/>
      <c r="D29" s="246">
        <v>5</v>
      </c>
      <c r="G29" s="403"/>
    </row>
    <row r="30" spans="1:7" ht="15" thickBot="1" x14ac:dyDescent="0.4">
      <c r="A30" s="372" t="s">
        <v>85</v>
      </c>
      <c r="B30" s="264">
        <f>SUM(B29)</f>
        <v>5</v>
      </c>
      <c r="C30" s="170"/>
      <c r="D30" s="170">
        <f>SUM(D29)</f>
        <v>5</v>
      </c>
      <c r="G30" s="403"/>
    </row>
    <row r="31" spans="1:7" ht="15" thickBot="1" x14ac:dyDescent="0.4">
      <c r="A31" s="194"/>
      <c r="B31" s="35"/>
      <c r="C31" s="198"/>
      <c r="D31" s="198"/>
      <c r="G31" s="403"/>
    </row>
    <row r="32" spans="1:7" ht="15" thickBot="1" x14ac:dyDescent="0.4">
      <c r="A32" s="86" t="s">
        <v>3</v>
      </c>
      <c r="B32" s="241">
        <v>0</v>
      </c>
      <c r="C32" s="241"/>
      <c r="D32" s="241">
        <v>0</v>
      </c>
      <c r="G32" s="403"/>
    </row>
    <row r="33" spans="1:7" ht="15" thickBot="1" x14ac:dyDescent="0.4">
      <c r="A33" s="377" t="s">
        <v>85</v>
      </c>
      <c r="B33" s="539">
        <v>0</v>
      </c>
      <c r="C33" s="120"/>
      <c r="D33" s="120">
        <v>0</v>
      </c>
      <c r="G33" s="403"/>
    </row>
    <row r="34" spans="1:7" ht="15" thickBot="1" x14ac:dyDescent="0.4">
      <c r="A34" s="194"/>
      <c r="B34" s="540"/>
      <c r="C34" s="201"/>
      <c r="D34" s="201"/>
      <c r="G34" s="403"/>
    </row>
    <row r="35" spans="1:7" ht="15" thickBot="1" x14ac:dyDescent="0.4">
      <c r="A35" s="209" t="s">
        <v>5</v>
      </c>
      <c r="B35" s="462"/>
      <c r="C35" s="210"/>
      <c r="D35" s="210"/>
      <c r="G35" s="403"/>
    </row>
    <row r="36" spans="1:7" x14ac:dyDescent="0.35">
      <c r="A36" s="381" t="s">
        <v>93</v>
      </c>
      <c r="B36" s="174">
        <v>12</v>
      </c>
      <c r="C36" s="219"/>
      <c r="D36" s="219">
        <v>12</v>
      </c>
      <c r="G36" s="403"/>
    </row>
    <row r="37" spans="1:7" x14ac:dyDescent="0.35">
      <c r="A37" s="236" t="s">
        <v>94</v>
      </c>
      <c r="B37" s="267">
        <v>1</v>
      </c>
      <c r="C37" s="220"/>
      <c r="D37" s="220">
        <v>1</v>
      </c>
      <c r="G37" s="403"/>
    </row>
    <row r="38" spans="1:7" x14ac:dyDescent="0.35">
      <c r="A38" s="236" t="s">
        <v>95</v>
      </c>
      <c r="B38" s="344">
        <v>0</v>
      </c>
      <c r="C38" s="221"/>
      <c r="D38" s="221">
        <v>0</v>
      </c>
      <c r="G38" s="403"/>
    </row>
    <row r="39" spans="1:7" x14ac:dyDescent="0.35">
      <c r="A39" s="236" t="s">
        <v>96</v>
      </c>
      <c r="B39" s="344">
        <v>0</v>
      </c>
      <c r="C39" s="221"/>
      <c r="D39" s="221">
        <v>0</v>
      </c>
      <c r="G39" s="27"/>
    </row>
    <row r="40" spans="1:7" x14ac:dyDescent="0.35">
      <c r="A40" s="236" t="s">
        <v>97</v>
      </c>
      <c r="B40" s="267">
        <v>30</v>
      </c>
      <c r="C40" s="220"/>
      <c r="D40" s="220">
        <v>36</v>
      </c>
    </row>
    <row r="41" spans="1:7" ht="15" thickBot="1" x14ac:dyDescent="0.4">
      <c r="A41" s="92" t="s">
        <v>99</v>
      </c>
      <c r="B41" s="549">
        <v>290</v>
      </c>
      <c r="C41" s="166"/>
      <c r="D41" s="220">
        <v>150</v>
      </c>
    </row>
    <row r="42" spans="1:7" ht="15" thickBot="1" x14ac:dyDescent="0.4">
      <c r="A42" s="383" t="s">
        <v>85</v>
      </c>
      <c r="B42" s="94">
        <f>SUM(B36:B41)</f>
        <v>333</v>
      </c>
      <c r="C42" s="341">
        <v>132</v>
      </c>
      <c r="D42" s="341">
        <f>SUM(D36:D41)</f>
        <v>199</v>
      </c>
    </row>
    <row r="43" spans="1:7" ht="15" thickBot="1" x14ac:dyDescent="0.4">
      <c r="A43" s="550"/>
      <c r="B43" s="551"/>
      <c r="C43" s="251"/>
      <c r="D43" s="251"/>
    </row>
    <row r="44" spans="1:7" ht="19" thickBot="1" x14ac:dyDescent="0.5">
      <c r="A44" s="391" t="s">
        <v>10</v>
      </c>
      <c r="B44" s="252">
        <f>B42+B33+B30+B25+B21+B13</f>
        <v>2426</v>
      </c>
      <c r="C44" s="252">
        <f>C42+C33+C30+C25+C21+C13</f>
        <v>1552</v>
      </c>
      <c r="D44" s="223">
        <f>D42+D33+D30+D25+D21+D13</f>
        <v>2391.5575600000002</v>
      </c>
    </row>
    <row r="45" spans="1:7" x14ac:dyDescent="0.35">
      <c r="A45" s="396"/>
      <c r="B45" s="396"/>
      <c r="C45" s="396"/>
      <c r="D45" s="396"/>
      <c r="E45" s="396"/>
    </row>
    <row r="46" spans="1:7" x14ac:dyDescent="0.35">
      <c r="A46" s="197"/>
      <c r="B46" s="197"/>
      <c r="C46" s="197"/>
      <c r="D46" s="197"/>
      <c r="E46" s="396"/>
    </row>
    <row r="47" spans="1:7" x14ac:dyDescent="0.35">
      <c r="A47" s="396"/>
      <c r="B47" s="396"/>
      <c r="C47" s="396"/>
      <c r="D47" s="403"/>
      <c r="E47" s="396"/>
    </row>
    <row r="48" spans="1:7" x14ac:dyDescent="0.35">
      <c r="A48" s="396"/>
      <c r="B48" s="396"/>
      <c r="C48" s="396"/>
      <c r="D48" s="396"/>
      <c r="E48" s="396"/>
    </row>
    <row r="49" spans="1:5" x14ac:dyDescent="0.35">
      <c r="A49" s="396"/>
      <c r="B49" s="396"/>
      <c r="C49" s="396"/>
      <c r="D49" s="396"/>
      <c r="E49" s="396"/>
    </row>
    <row r="50" spans="1:5" x14ac:dyDescent="0.35">
      <c r="A50" s="396"/>
      <c r="B50" s="396"/>
      <c r="C50" s="396"/>
      <c r="D50" s="396"/>
      <c r="E50" s="396"/>
    </row>
  </sheetData>
  <pageMargins left="0.7" right="0.7" top="0.78740157499999996" bottom="0.78740157499999996" header="0.3" footer="0.3"/>
  <pageSetup paperSize="9" scale="8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0"/>
  <sheetViews>
    <sheetView zoomScaleNormal="100" workbookViewId="0">
      <selection activeCell="I14" sqref="I14"/>
    </sheetView>
  </sheetViews>
  <sheetFormatPr defaultColWidth="9.1796875" defaultRowHeight="14.5" x14ac:dyDescent="0.35"/>
  <cols>
    <col min="1" max="1" width="37.7265625" style="191" bestFit="1" customWidth="1"/>
    <col min="2" max="2" width="19.453125" style="191" customWidth="1"/>
    <col min="3" max="3" width="24" style="191" customWidth="1"/>
    <col min="4" max="4" width="18.453125" style="191" customWidth="1"/>
    <col min="5" max="6" width="9.1796875" style="191"/>
    <col min="7" max="7" width="9.1796875" style="193"/>
    <col min="8" max="16384" width="9.1796875" style="191"/>
  </cols>
  <sheetData>
    <row r="1" spans="1:7" ht="24" thickBot="1" x14ac:dyDescent="0.6">
      <c r="A1" s="207" t="s">
        <v>161</v>
      </c>
      <c r="B1" s="192"/>
      <c r="C1" s="192"/>
      <c r="F1" s="345"/>
    </row>
    <row r="2" spans="1:7" ht="19" thickBot="1" x14ac:dyDescent="0.5">
      <c r="A2" s="82" t="s">
        <v>128</v>
      </c>
      <c r="B2" s="239" t="s">
        <v>134</v>
      </c>
      <c r="C2" s="239" t="s">
        <v>163</v>
      </c>
      <c r="D2" s="240" t="s">
        <v>164</v>
      </c>
      <c r="F2" s="345"/>
    </row>
    <row r="3" spans="1:7" ht="15" thickBot="1" x14ac:dyDescent="0.4">
      <c r="A3" s="203" t="s">
        <v>77</v>
      </c>
      <c r="B3" s="224"/>
      <c r="C3" s="224"/>
      <c r="D3" s="204"/>
      <c r="F3" s="345"/>
    </row>
    <row r="4" spans="1:7" x14ac:dyDescent="0.35">
      <c r="A4" s="229" t="s">
        <v>78</v>
      </c>
      <c r="B4" s="83">
        <v>1096</v>
      </c>
      <c r="C4" s="83"/>
      <c r="D4" s="211">
        <v>1227.6000000000001</v>
      </c>
      <c r="F4" s="345"/>
      <c r="G4" s="97"/>
    </row>
    <row r="5" spans="1:7" x14ac:dyDescent="0.35">
      <c r="A5" s="230" t="s">
        <v>79</v>
      </c>
      <c r="B5" s="155">
        <v>100</v>
      </c>
      <c r="C5" s="155"/>
      <c r="D5" s="212">
        <v>140</v>
      </c>
      <c r="F5" s="345"/>
      <c r="G5" s="11"/>
    </row>
    <row r="6" spans="1:7" x14ac:dyDescent="0.35">
      <c r="A6" s="230" t="s">
        <v>80</v>
      </c>
      <c r="B6" s="155">
        <v>433</v>
      </c>
      <c r="C6" s="155"/>
      <c r="D6" s="155">
        <v>498.07992000000007</v>
      </c>
      <c r="F6" s="345"/>
      <c r="G6" s="97"/>
    </row>
    <row r="7" spans="1:7" x14ac:dyDescent="0.35">
      <c r="A7" s="230" t="s">
        <v>81</v>
      </c>
      <c r="B7" s="155"/>
      <c r="C7" s="155"/>
      <c r="D7" s="213"/>
      <c r="F7" s="345"/>
      <c r="G7" s="97"/>
    </row>
    <row r="8" spans="1:7" x14ac:dyDescent="0.35">
      <c r="A8" s="230" t="s">
        <v>142</v>
      </c>
      <c r="B8" s="155"/>
      <c r="C8" s="155"/>
      <c r="D8" s="213"/>
      <c r="F8" s="345"/>
      <c r="G8" s="97"/>
    </row>
    <row r="9" spans="1:7" x14ac:dyDescent="0.35">
      <c r="A9" s="230" t="s">
        <v>82</v>
      </c>
      <c r="B9" s="155">
        <v>156</v>
      </c>
      <c r="C9" s="155"/>
      <c r="D9" s="212">
        <v>180</v>
      </c>
      <c r="F9" s="345"/>
      <c r="G9" s="97"/>
    </row>
    <row r="10" spans="1:7" x14ac:dyDescent="0.35">
      <c r="A10" s="230" t="s">
        <v>83</v>
      </c>
      <c r="B10" s="155">
        <v>23</v>
      </c>
      <c r="C10" s="155"/>
      <c r="D10" s="212">
        <v>28</v>
      </c>
      <c r="F10" s="345"/>
      <c r="G10" s="97"/>
    </row>
    <row r="11" spans="1:7" x14ac:dyDescent="0.35">
      <c r="A11" s="230" t="s">
        <v>84</v>
      </c>
      <c r="B11" s="155"/>
      <c r="C11" s="155"/>
      <c r="D11" s="212"/>
      <c r="F11" s="345"/>
      <c r="G11" s="97"/>
    </row>
    <row r="12" spans="1:7" ht="15" thickBot="1" x14ac:dyDescent="0.4">
      <c r="A12" s="231"/>
      <c r="B12" s="227"/>
      <c r="C12" s="84"/>
      <c r="D12" s="214"/>
      <c r="F12" s="345"/>
      <c r="G12" s="97"/>
    </row>
    <row r="13" spans="1:7" ht="15" thickBot="1" x14ac:dyDescent="0.4">
      <c r="A13" s="232" t="s">
        <v>85</v>
      </c>
      <c r="B13" s="270">
        <v>1808</v>
      </c>
      <c r="C13" s="215">
        <v>1388</v>
      </c>
      <c r="D13" s="215">
        <v>2073.6799200000005</v>
      </c>
      <c r="F13" s="345"/>
      <c r="G13" s="97"/>
    </row>
    <row r="14" spans="1:7" ht="15" thickBot="1" x14ac:dyDescent="0.4">
      <c r="A14" s="194"/>
      <c r="B14" s="228"/>
      <c r="C14" s="228"/>
      <c r="D14" s="195"/>
      <c r="F14" s="345"/>
      <c r="G14" s="97"/>
    </row>
    <row r="15" spans="1:7" ht="15" thickBot="1" x14ac:dyDescent="0.4">
      <c r="A15" s="199" t="s">
        <v>1</v>
      </c>
      <c r="B15" s="253"/>
      <c r="C15" s="253"/>
      <c r="D15" s="200"/>
      <c r="F15" s="345"/>
      <c r="G15" s="97"/>
    </row>
    <row r="16" spans="1:7" x14ac:dyDescent="0.35">
      <c r="A16" s="233" t="s">
        <v>86</v>
      </c>
      <c r="B16" s="254">
        <v>20</v>
      </c>
      <c r="C16" s="254"/>
      <c r="D16" s="216">
        <v>20</v>
      </c>
      <c r="F16" s="345"/>
      <c r="G16" s="11"/>
    </row>
    <row r="17" spans="1:7" x14ac:dyDescent="0.35">
      <c r="A17" s="234" t="s">
        <v>87</v>
      </c>
      <c r="B17" s="255">
        <v>30</v>
      </c>
      <c r="C17" s="255"/>
      <c r="D17" s="217">
        <v>20</v>
      </c>
      <c r="F17" s="345"/>
      <c r="G17" s="97"/>
    </row>
    <row r="18" spans="1:7" x14ac:dyDescent="0.35">
      <c r="A18" s="234" t="s">
        <v>88</v>
      </c>
      <c r="B18" s="255">
        <v>30</v>
      </c>
      <c r="C18" s="255"/>
      <c r="D18" s="217">
        <v>30</v>
      </c>
      <c r="F18" s="345"/>
      <c r="G18" s="97"/>
    </row>
    <row r="19" spans="1:7" x14ac:dyDescent="0.35">
      <c r="A19" s="235" t="s">
        <v>89</v>
      </c>
      <c r="B19" s="256">
        <v>180</v>
      </c>
      <c r="C19" s="256"/>
      <c r="D19" s="165">
        <v>100</v>
      </c>
      <c r="F19" s="521" t="s">
        <v>196</v>
      </c>
      <c r="G19" s="97"/>
    </row>
    <row r="20" spans="1:7" ht="15" thickBot="1" x14ac:dyDescent="0.4">
      <c r="A20" s="235"/>
      <c r="B20" s="256"/>
      <c r="C20" s="256"/>
      <c r="D20" s="218"/>
      <c r="F20" s="345"/>
      <c r="G20" s="97"/>
    </row>
    <row r="21" spans="1:7" ht="15" thickBot="1" x14ac:dyDescent="0.4">
      <c r="A21" s="248" t="s">
        <v>85</v>
      </c>
      <c r="B21" s="257">
        <v>260</v>
      </c>
      <c r="C21" s="257">
        <v>31</v>
      </c>
      <c r="D21" s="269">
        <v>170</v>
      </c>
      <c r="F21" s="345"/>
      <c r="G21" s="97"/>
    </row>
    <row r="22" spans="1:7" ht="15" thickBot="1" x14ac:dyDescent="0.4">
      <c r="A22" s="194"/>
      <c r="B22" s="258"/>
      <c r="C22" s="258"/>
      <c r="D22" s="198"/>
      <c r="F22" s="345"/>
      <c r="G22" s="97"/>
    </row>
    <row r="23" spans="1:7" ht="15" thickBot="1" x14ac:dyDescent="0.4">
      <c r="A23" s="205" t="s">
        <v>2</v>
      </c>
      <c r="B23" s="259"/>
      <c r="C23" s="259"/>
      <c r="D23" s="206"/>
      <c r="F23" s="345"/>
      <c r="G23" s="97"/>
    </row>
    <row r="24" spans="1:7" ht="15" thickBot="1" x14ac:dyDescent="0.4">
      <c r="A24" s="242" t="s">
        <v>90</v>
      </c>
      <c r="B24" s="260">
        <v>20</v>
      </c>
      <c r="C24" s="260"/>
      <c r="D24" s="243">
        <v>20</v>
      </c>
      <c r="F24" s="345"/>
      <c r="G24" s="97"/>
    </row>
    <row r="25" spans="1:7" ht="15" thickBot="1" x14ac:dyDescent="0.4">
      <c r="A25" s="244" t="s">
        <v>85</v>
      </c>
      <c r="B25" s="261">
        <v>20</v>
      </c>
      <c r="C25" s="261">
        <v>1</v>
      </c>
      <c r="D25" s="169">
        <v>20</v>
      </c>
      <c r="F25" s="345"/>
      <c r="G25" s="97"/>
    </row>
    <row r="26" spans="1:7" x14ac:dyDescent="0.35">
      <c r="A26" s="194"/>
      <c r="B26" s="258"/>
      <c r="C26" s="258"/>
      <c r="D26" s="198"/>
      <c r="F26" s="345"/>
      <c r="G26" s="97"/>
    </row>
    <row r="27" spans="1:7" ht="15" thickBot="1" x14ac:dyDescent="0.4">
      <c r="A27" s="194"/>
      <c r="B27" s="258"/>
      <c r="C27" s="258"/>
      <c r="D27" s="198"/>
      <c r="F27" s="345"/>
      <c r="G27" s="97"/>
    </row>
    <row r="28" spans="1:7" ht="15" thickBot="1" x14ac:dyDescent="0.4">
      <c r="A28" s="202" t="s">
        <v>91</v>
      </c>
      <c r="B28" s="262"/>
      <c r="C28" s="262"/>
      <c r="D28" s="208"/>
      <c r="F28" s="345"/>
      <c r="G28" s="97"/>
    </row>
    <row r="29" spans="1:7" ht="15" thickBot="1" x14ac:dyDescent="0.4">
      <c r="A29" s="245" t="s">
        <v>92</v>
      </c>
      <c r="B29" s="263">
        <v>5</v>
      </c>
      <c r="C29" s="263"/>
      <c r="D29" s="246">
        <v>5</v>
      </c>
      <c r="F29" s="345"/>
      <c r="G29" s="97"/>
    </row>
    <row r="30" spans="1:7" ht="15" thickBot="1" x14ac:dyDescent="0.4">
      <c r="A30" s="247" t="s">
        <v>85</v>
      </c>
      <c r="B30" s="264">
        <v>5</v>
      </c>
      <c r="C30" s="264"/>
      <c r="D30" s="170">
        <v>5</v>
      </c>
      <c r="F30" s="345"/>
      <c r="G30" s="97"/>
    </row>
    <row r="31" spans="1:7" ht="15" thickBot="1" x14ac:dyDescent="0.4">
      <c r="A31" s="194"/>
      <c r="B31" s="258"/>
      <c r="C31" s="258"/>
      <c r="D31" s="198"/>
      <c r="F31" s="345"/>
      <c r="G31" s="97"/>
    </row>
    <row r="32" spans="1:7" ht="15" thickBot="1" x14ac:dyDescent="0.4">
      <c r="A32" s="86" t="s">
        <v>3</v>
      </c>
      <c r="B32" s="87">
        <v>0</v>
      </c>
      <c r="C32" s="87"/>
      <c r="D32" s="241">
        <v>0</v>
      </c>
      <c r="F32" s="345"/>
      <c r="G32" s="97"/>
    </row>
    <row r="33" spans="1:7" ht="15" thickBot="1" x14ac:dyDescent="0.4">
      <c r="A33" s="89" t="s">
        <v>85</v>
      </c>
      <c r="B33" s="90">
        <v>0</v>
      </c>
      <c r="C33" s="90"/>
      <c r="D33" s="120">
        <v>0</v>
      </c>
      <c r="F33" s="345"/>
      <c r="G33" s="97"/>
    </row>
    <row r="34" spans="1:7" ht="15" thickBot="1" x14ac:dyDescent="0.4">
      <c r="A34" s="194"/>
      <c r="B34" s="258"/>
      <c r="C34" s="258"/>
      <c r="D34" s="201"/>
      <c r="F34" s="345"/>
      <c r="G34" s="97"/>
    </row>
    <row r="35" spans="1:7" ht="15" thickBot="1" x14ac:dyDescent="0.4">
      <c r="A35" s="209" t="s">
        <v>5</v>
      </c>
      <c r="B35" s="265"/>
      <c r="C35" s="265"/>
      <c r="D35" s="210"/>
      <c r="F35" s="345"/>
      <c r="G35" s="97"/>
    </row>
    <row r="36" spans="1:7" x14ac:dyDescent="0.35">
      <c r="A36" s="475" t="s">
        <v>93</v>
      </c>
      <c r="B36" s="174">
        <v>12</v>
      </c>
      <c r="C36" s="174"/>
      <c r="D36" s="476">
        <v>12</v>
      </c>
      <c r="F36" s="345"/>
      <c r="G36" s="97"/>
    </row>
    <row r="37" spans="1:7" x14ac:dyDescent="0.35">
      <c r="A37" s="236" t="s">
        <v>94</v>
      </c>
      <c r="B37" s="267">
        <v>1</v>
      </c>
      <c r="C37" s="267"/>
      <c r="D37" s="220">
        <v>1</v>
      </c>
      <c r="F37" s="345"/>
      <c r="G37" s="97"/>
    </row>
    <row r="38" spans="1:7" x14ac:dyDescent="0.35">
      <c r="A38" s="236" t="s">
        <v>95</v>
      </c>
      <c r="B38" s="267">
        <v>0</v>
      </c>
      <c r="C38" s="267"/>
      <c r="D38" s="221">
        <v>0</v>
      </c>
      <c r="F38" s="345"/>
      <c r="G38" s="97"/>
    </row>
    <row r="39" spans="1:7" x14ac:dyDescent="0.35">
      <c r="A39" s="236" t="s">
        <v>96</v>
      </c>
      <c r="B39" s="267">
        <v>0</v>
      </c>
      <c r="C39" s="267"/>
      <c r="D39" s="221">
        <v>0</v>
      </c>
      <c r="F39" s="345"/>
      <c r="G39" s="27"/>
    </row>
    <row r="40" spans="1:7" x14ac:dyDescent="0.35">
      <c r="A40" s="236" t="s">
        <v>97</v>
      </c>
      <c r="B40" s="267">
        <v>30</v>
      </c>
      <c r="C40" s="267"/>
      <c r="D40" s="220">
        <v>36</v>
      </c>
      <c r="F40" s="345"/>
    </row>
    <row r="41" spans="1:7" ht="15" thickBot="1" x14ac:dyDescent="0.4">
      <c r="A41" s="467" t="s">
        <v>99</v>
      </c>
      <c r="B41" s="468">
        <v>290</v>
      </c>
      <c r="C41" s="468"/>
      <c r="D41" s="222">
        <v>150</v>
      </c>
      <c r="F41" s="345"/>
    </row>
    <row r="42" spans="1:7" ht="15" thickBot="1" x14ac:dyDescent="0.4">
      <c r="A42" s="469" t="s">
        <v>85</v>
      </c>
      <c r="B42" s="470">
        <v>333</v>
      </c>
      <c r="C42" s="470">
        <v>132</v>
      </c>
      <c r="D42" s="474">
        <v>199</v>
      </c>
      <c r="F42" s="345"/>
    </row>
    <row r="43" spans="1:7" ht="15" thickBot="1" x14ac:dyDescent="0.4">
      <c r="A43" s="249"/>
      <c r="B43" s="250"/>
      <c r="C43" s="250"/>
      <c r="D43" s="251"/>
      <c r="F43" s="345"/>
    </row>
    <row r="44" spans="1:7" ht="19" thickBot="1" x14ac:dyDescent="0.5">
      <c r="A44" s="238" t="s">
        <v>10</v>
      </c>
      <c r="B44" s="252">
        <v>2426</v>
      </c>
      <c r="C44" s="252">
        <v>1552</v>
      </c>
      <c r="D44" s="223">
        <v>2467.6799200000005</v>
      </c>
      <c r="F44" s="345"/>
    </row>
    <row r="45" spans="1:7" x14ac:dyDescent="0.35">
      <c r="A45" s="193"/>
      <c r="B45" s="193"/>
      <c r="C45" s="193"/>
      <c r="D45" s="193"/>
      <c r="F45" s="345"/>
    </row>
    <row r="46" spans="1:7" x14ac:dyDescent="0.35">
      <c r="A46" s="197"/>
      <c r="B46" s="197"/>
      <c r="C46" s="197"/>
      <c r="D46" s="193"/>
      <c r="F46" s="345"/>
    </row>
    <row r="47" spans="1:7" x14ac:dyDescent="0.35">
      <c r="A47" s="193"/>
      <c r="B47" s="193"/>
      <c r="C47" s="193"/>
      <c r="D47" s="193"/>
      <c r="F47" s="345"/>
    </row>
    <row r="48" spans="1:7" x14ac:dyDescent="0.35">
      <c r="A48" s="193"/>
      <c r="B48" s="193"/>
      <c r="C48" s="193"/>
      <c r="D48" s="193"/>
      <c r="F48" s="345"/>
    </row>
    <row r="49" spans="1:6" x14ac:dyDescent="0.35">
      <c r="A49" s="193"/>
      <c r="B49" s="193"/>
      <c r="C49" s="193"/>
      <c r="D49" s="193"/>
      <c r="F49" s="345"/>
    </row>
    <row r="50" spans="1:6" x14ac:dyDescent="0.35">
      <c r="A50" s="193"/>
      <c r="B50" s="193"/>
      <c r="C50" s="193"/>
      <c r="D50" s="193"/>
      <c r="F50" s="345"/>
    </row>
  </sheetData>
  <pageMargins left="0.7" right="0.7" top="0.78740157499999996" bottom="0.78740157499999996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0"/>
  <sheetViews>
    <sheetView workbookViewId="0">
      <selection activeCell="A2" sqref="A2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24" style="346" customWidth="1"/>
    <col min="4" max="4" width="18.453125" style="346" customWidth="1"/>
    <col min="5" max="5" width="9.1796875" style="346"/>
    <col min="6" max="6" width="13.1796875" style="346" bestFit="1" customWidth="1"/>
    <col min="7" max="7" width="9.54296875" style="346" bestFit="1" customWidth="1"/>
    <col min="8" max="8" width="9.1796875" style="346"/>
    <col min="9" max="9" width="12.1796875" style="346" bestFit="1" customWidth="1"/>
    <col min="10" max="16384" width="9.1796875" style="346"/>
  </cols>
  <sheetData>
    <row r="1" spans="1:9" ht="24" thickBot="1" x14ac:dyDescent="0.6">
      <c r="A1" s="207" t="s">
        <v>161</v>
      </c>
      <c r="B1" s="347"/>
      <c r="C1" s="347"/>
      <c r="D1" s="498" t="s">
        <v>162</v>
      </c>
    </row>
    <row r="2" spans="1:9" ht="19" thickBot="1" x14ac:dyDescent="0.5">
      <c r="A2" s="82" t="s">
        <v>119</v>
      </c>
      <c r="B2" s="239" t="s">
        <v>134</v>
      </c>
      <c r="C2" s="239" t="s">
        <v>163</v>
      </c>
      <c r="D2" s="240" t="s">
        <v>164</v>
      </c>
    </row>
    <row r="3" spans="1:9" ht="15" thickBot="1" x14ac:dyDescent="0.4">
      <c r="A3" s="203" t="s">
        <v>77</v>
      </c>
      <c r="B3" s="398"/>
      <c r="C3" s="398"/>
      <c r="D3" s="204"/>
    </row>
    <row r="4" spans="1:9" x14ac:dyDescent="0.35">
      <c r="A4" s="450" t="s">
        <v>78</v>
      </c>
      <c r="B4" s="211">
        <v>3829</v>
      </c>
      <c r="C4" s="435">
        <v>3689.8620000000001</v>
      </c>
      <c r="D4" s="211">
        <f>3979*1.05</f>
        <v>4177.95</v>
      </c>
      <c r="E4" s="499"/>
    </row>
    <row r="5" spans="1:9" x14ac:dyDescent="0.35">
      <c r="A5" s="226" t="s">
        <v>79</v>
      </c>
      <c r="B5" s="212">
        <v>314</v>
      </c>
      <c r="C5" s="436">
        <v>221</v>
      </c>
      <c r="D5" s="212">
        <v>332</v>
      </c>
    </row>
    <row r="6" spans="1:9" x14ac:dyDescent="0.35">
      <c r="A6" s="226" t="s">
        <v>80</v>
      </c>
      <c r="B6" s="212">
        <v>1509</v>
      </c>
      <c r="C6" s="436">
        <v>1409.221</v>
      </c>
      <c r="D6" s="212">
        <f>(D4+D5)*0.3642</f>
        <v>1642.52379</v>
      </c>
      <c r="F6" s="196"/>
      <c r="G6" s="500"/>
      <c r="I6" s="501"/>
    </row>
    <row r="7" spans="1:9" x14ac:dyDescent="0.35">
      <c r="A7" s="226" t="s">
        <v>81</v>
      </c>
      <c r="B7" s="212"/>
      <c r="C7" s="436"/>
      <c r="D7" s="213"/>
      <c r="I7" s="501"/>
    </row>
    <row r="8" spans="1:9" x14ac:dyDescent="0.35">
      <c r="A8" s="226" t="s">
        <v>98</v>
      </c>
      <c r="B8" s="212"/>
      <c r="C8" s="436"/>
      <c r="D8" s="213"/>
      <c r="I8" s="501"/>
    </row>
    <row r="9" spans="1:9" x14ac:dyDescent="0.35">
      <c r="A9" s="226" t="s">
        <v>82</v>
      </c>
      <c r="B9" s="212">
        <v>200</v>
      </c>
      <c r="C9" s="436">
        <v>96</v>
      </c>
      <c r="D9" s="212">
        <v>104</v>
      </c>
      <c r="I9" s="501"/>
    </row>
    <row r="10" spans="1:9" x14ac:dyDescent="0.35">
      <c r="A10" s="226" t="s">
        <v>83</v>
      </c>
      <c r="B10" s="212">
        <v>146</v>
      </c>
      <c r="C10" s="436">
        <v>123.833</v>
      </c>
      <c r="D10" s="212">
        <v>151</v>
      </c>
    </row>
    <row r="11" spans="1:9" x14ac:dyDescent="0.35">
      <c r="A11" s="226" t="s">
        <v>84</v>
      </c>
      <c r="B11" s="212">
        <v>8</v>
      </c>
      <c r="C11" s="436">
        <v>0.36736000000000002</v>
      </c>
      <c r="D11" s="212">
        <v>1</v>
      </c>
    </row>
    <row r="12" spans="1:9" ht="15" thickBot="1" x14ac:dyDescent="0.4">
      <c r="A12" s="227"/>
      <c r="B12" s="163"/>
      <c r="C12" s="437"/>
      <c r="D12" s="214"/>
    </row>
    <row r="13" spans="1:9" ht="15" thickBot="1" x14ac:dyDescent="0.4">
      <c r="A13" s="159" t="s">
        <v>85</v>
      </c>
      <c r="B13" s="215">
        <f>SUM(B4:B12)</f>
        <v>6006</v>
      </c>
      <c r="C13" s="215">
        <f>SUM(C4:C12)</f>
        <v>5540.2833600000004</v>
      </c>
      <c r="D13" s="215">
        <f>SUM(D4:D12)</f>
        <v>6408.47379</v>
      </c>
    </row>
    <row r="14" spans="1:9" ht="15" thickBot="1" x14ac:dyDescent="0.4">
      <c r="A14" s="194"/>
      <c r="B14" s="95"/>
      <c r="C14" s="228"/>
      <c r="D14" s="195"/>
    </row>
    <row r="15" spans="1:9" ht="15" thickBot="1" x14ac:dyDescent="0.4">
      <c r="A15" s="160" t="s">
        <v>1</v>
      </c>
      <c r="B15" s="158"/>
      <c r="C15" s="253"/>
      <c r="D15" s="200"/>
    </row>
    <row r="16" spans="1:9" x14ac:dyDescent="0.35">
      <c r="A16" s="161" t="s">
        <v>86</v>
      </c>
      <c r="B16" s="216">
        <v>40</v>
      </c>
      <c r="C16" s="254">
        <v>24.486260000000001</v>
      </c>
      <c r="D16" s="216">
        <v>30</v>
      </c>
      <c r="F16" s="502"/>
    </row>
    <row r="17" spans="1:4" x14ac:dyDescent="0.35">
      <c r="A17" s="162" t="s">
        <v>87</v>
      </c>
      <c r="B17" s="217">
        <v>5</v>
      </c>
      <c r="C17" s="255"/>
      <c r="D17" s="217">
        <v>5</v>
      </c>
    </row>
    <row r="18" spans="1:4" x14ac:dyDescent="0.35">
      <c r="A18" s="162" t="s">
        <v>88</v>
      </c>
      <c r="B18" s="217">
        <v>120</v>
      </c>
      <c r="C18" s="255">
        <v>39.382280000000002</v>
      </c>
      <c r="D18" s="217">
        <v>60</v>
      </c>
    </row>
    <row r="19" spans="1:4" x14ac:dyDescent="0.35">
      <c r="A19" s="451" t="s">
        <v>89</v>
      </c>
      <c r="B19" s="165">
        <v>31</v>
      </c>
      <c r="C19" s="256">
        <v>0.52061999999999997</v>
      </c>
      <c r="D19" s="218">
        <v>5</v>
      </c>
    </row>
    <row r="20" spans="1:4" ht="15" thickBot="1" x14ac:dyDescent="0.4">
      <c r="A20" s="451"/>
      <c r="B20" s="165"/>
      <c r="C20" s="256"/>
      <c r="D20" s="218"/>
    </row>
    <row r="21" spans="1:4" ht="15" thickBot="1" x14ac:dyDescent="0.4">
      <c r="A21" s="452" t="s">
        <v>85</v>
      </c>
      <c r="B21" s="269">
        <f>SUM(B16:B20)</f>
        <v>196</v>
      </c>
      <c r="C21" s="269">
        <f t="shared" ref="C21:D21" si="0">SUM(C16:C20)</f>
        <v>64.389160000000004</v>
      </c>
      <c r="D21" s="269">
        <f t="shared" si="0"/>
        <v>100</v>
      </c>
    </row>
    <row r="22" spans="1:4" ht="15" thickBot="1" x14ac:dyDescent="0.4">
      <c r="A22" s="194"/>
      <c r="B22" s="198"/>
      <c r="C22" s="258"/>
      <c r="D22" s="198"/>
    </row>
    <row r="23" spans="1:4" ht="15" thickBot="1" x14ac:dyDescent="0.4">
      <c r="A23" s="453" t="s">
        <v>2</v>
      </c>
      <c r="B23" s="98"/>
      <c r="C23" s="259"/>
      <c r="D23" s="206"/>
    </row>
    <row r="24" spans="1:4" ht="15" thickBot="1" x14ac:dyDescent="0.4">
      <c r="A24" s="454" t="s">
        <v>90</v>
      </c>
      <c r="B24" s="243">
        <v>30</v>
      </c>
      <c r="C24" s="260">
        <v>3.2787199999999999</v>
      </c>
      <c r="D24" s="243">
        <v>10</v>
      </c>
    </row>
    <row r="25" spans="1:4" ht="15" thickBot="1" x14ac:dyDescent="0.4">
      <c r="A25" s="455" t="s">
        <v>85</v>
      </c>
      <c r="B25" s="169">
        <f>SUM(B23:B24)</f>
        <v>30</v>
      </c>
      <c r="C25" s="169">
        <f t="shared" ref="C25:D25" si="1">SUM(C23:C24)</f>
        <v>3.2787199999999999</v>
      </c>
      <c r="D25" s="169">
        <f t="shared" si="1"/>
        <v>10</v>
      </c>
    </row>
    <row r="26" spans="1:4" x14ac:dyDescent="0.35">
      <c r="A26" s="194"/>
      <c r="B26" s="198"/>
      <c r="C26" s="258"/>
      <c r="D26" s="198"/>
    </row>
    <row r="27" spans="1:4" ht="15" thickBot="1" x14ac:dyDescent="0.4">
      <c r="A27" s="194"/>
      <c r="B27" s="198"/>
      <c r="C27" s="258"/>
      <c r="D27" s="198"/>
    </row>
    <row r="28" spans="1:4" ht="15" thickBot="1" x14ac:dyDescent="0.4">
      <c r="A28" s="456" t="s">
        <v>91</v>
      </c>
      <c r="B28" s="99"/>
      <c r="C28" s="262"/>
      <c r="D28" s="208"/>
    </row>
    <row r="29" spans="1:4" ht="15" thickBot="1" x14ac:dyDescent="0.4">
      <c r="A29" s="457" t="s">
        <v>92</v>
      </c>
      <c r="B29" s="246">
        <v>5</v>
      </c>
      <c r="C29" s="263"/>
      <c r="D29" s="246"/>
    </row>
    <row r="30" spans="1:4" ht="15" thickBot="1" x14ac:dyDescent="0.4">
      <c r="A30" s="458" t="s">
        <v>85</v>
      </c>
      <c r="B30" s="170">
        <f>SUM(B28:B29)</f>
        <v>5</v>
      </c>
      <c r="C30" s="170">
        <f t="shared" ref="C30:D30" si="2">SUM(C28:C29)</f>
        <v>0</v>
      </c>
      <c r="D30" s="170">
        <f t="shared" si="2"/>
        <v>0</v>
      </c>
    </row>
    <row r="31" spans="1:4" ht="15" thickBot="1" x14ac:dyDescent="0.4">
      <c r="A31" s="194"/>
      <c r="B31" s="198"/>
      <c r="C31" s="258"/>
      <c r="D31" s="198"/>
    </row>
    <row r="32" spans="1:4" ht="15" thickBot="1" x14ac:dyDescent="0.4">
      <c r="A32" s="459" t="s">
        <v>3</v>
      </c>
      <c r="B32" s="460"/>
      <c r="C32" s="343"/>
      <c r="D32" s="241"/>
    </row>
    <row r="33" spans="1:6" ht="15" thickBot="1" x14ac:dyDescent="0.4">
      <c r="A33" s="461" t="s">
        <v>85</v>
      </c>
      <c r="B33" s="409">
        <v>0</v>
      </c>
      <c r="C33" s="409">
        <v>0</v>
      </c>
      <c r="D33" s="409">
        <v>0</v>
      </c>
    </row>
    <row r="34" spans="1:6" ht="15" thickBot="1" x14ac:dyDescent="0.4">
      <c r="A34" s="194"/>
      <c r="B34" s="198"/>
      <c r="C34" s="258"/>
      <c r="D34" s="201"/>
    </row>
    <row r="35" spans="1:6" ht="15" thickBot="1" x14ac:dyDescent="0.4">
      <c r="A35" s="462" t="s">
        <v>5</v>
      </c>
      <c r="B35" s="102"/>
      <c r="C35" s="265"/>
      <c r="D35" s="210"/>
    </row>
    <row r="36" spans="1:6" x14ac:dyDescent="0.35">
      <c r="A36" s="463" t="s">
        <v>93</v>
      </c>
      <c r="B36" s="219">
        <v>3</v>
      </c>
      <c r="C36" s="266">
        <v>5.4938799999999999</v>
      </c>
      <c r="D36" s="219">
        <v>5</v>
      </c>
    </row>
    <row r="37" spans="1:6" x14ac:dyDescent="0.35">
      <c r="A37" s="344" t="s">
        <v>94</v>
      </c>
      <c r="B37" s="220">
        <v>40</v>
      </c>
      <c r="C37" s="267">
        <v>19.783609999999999</v>
      </c>
      <c r="D37" s="220">
        <v>25</v>
      </c>
    </row>
    <row r="38" spans="1:6" x14ac:dyDescent="0.35">
      <c r="A38" s="344" t="s">
        <v>95</v>
      </c>
      <c r="B38" s="220"/>
      <c r="C38" s="267"/>
      <c r="D38" s="221"/>
    </row>
    <row r="39" spans="1:6" x14ac:dyDescent="0.35">
      <c r="A39" s="344" t="s">
        <v>96</v>
      </c>
      <c r="B39" s="220"/>
      <c r="C39" s="267"/>
      <c r="D39" s="221"/>
    </row>
    <row r="40" spans="1:6" x14ac:dyDescent="0.35">
      <c r="A40" s="344" t="s">
        <v>97</v>
      </c>
      <c r="B40" s="220"/>
      <c r="C40" s="267"/>
      <c r="D40" s="221"/>
    </row>
    <row r="41" spans="1:6" ht="15" thickBot="1" x14ac:dyDescent="0.4">
      <c r="A41" s="464" t="s">
        <v>99</v>
      </c>
      <c r="B41" s="166">
        <v>21</v>
      </c>
      <c r="C41" s="93">
        <v>20.456499999999998</v>
      </c>
      <c r="D41" s="465">
        <v>22</v>
      </c>
      <c r="F41" s="503"/>
    </row>
    <row r="42" spans="1:6" ht="15" thickBot="1" x14ac:dyDescent="0.4">
      <c r="A42" s="466" t="s">
        <v>85</v>
      </c>
      <c r="B42" s="341">
        <f>SUM(B36:B41)</f>
        <v>64</v>
      </c>
      <c r="C42" s="341">
        <f t="shared" ref="C42:D42" si="3">SUM(C36:C41)</f>
        <v>45.733989999999999</v>
      </c>
      <c r="D42" s="341">
        <f t="shared" si="3"/>
        <v>52</v>
      </c>
    </row>
    <row r="43" spans="1:6" ht="15" thickBot="1" x14ac:dyDescent="0.4">
      <c r="A43" s="249"/>
      <c r="B43" s="168"/>
      <c r="C43" s="250"/>
      <c r="D43" s="251"/>
    </row>
    <row r="44" spans="1:6" ht="19" thickBot="1" x14ac:dyDescent="0.5">
      <c r="A44" s="391" t="s">
        <v>10</v>
      </c>
      <c r="B44" s="223">
        <f>B42+B33+B30+B25+B21+B13</f>
        <v>6301</v>
      </c>
      <c r="C44" s="223">
        <f t="shared" ref="C44:D44" si="4">C42+C33+C30+C25+C21+C13</f>
        <v>5653.68523</v>
      </c>
      <c r="D44" s="223">
        <f t="shared" si="4"/>
        <v>6570.47379</v>
      </c>
    </row>
    <row r="45" spans="1:6" x14ac:dyDescent="0.35">
      <c r="A45" s="396"/>
      <c r="B45" s="396"/>
      <c r="C45" s="396"/>
      <c r="D45" s="396"/>
    </row>
    <row r="46" spans="1:6" x14ac:dyDescent="0.35">
      <c r="A46" s="197"/>
      <c r="B46" s="197"/>
      <c r="C46" s="197"/>
      <c r="D46" s="396"/>
    </row>
    <row r="47" spans="1:6" x14ac:dyDescent="0.35">
      <c r="A47" s="396"/>
      <c r="B47" s="396"/>
      <c r="C47" s="396"/>
      <c r="D47" s="396"/>
    </row>
    <row r="48" spans="1:6" x14ac:dyDescent="0.35">
      <c r="A48" s="396"/>
      <c r="B48" s="396"/>
      <c r="C48" s="396"/>
      <c r="D48" s="396"/>
    </row>
    <row r="49" spans="1:4" x14ac:dyDescent="0.35">
      <c r="A49" s="396"/>
      <c r="B49" s="396"/>
      <c r="C49" s="396"/>
      <c r="D49" s="396"/>
    </row>
    <row r="50" spans="1:4" x14ac:dyDescent="0.35">
      <c r="A50" s="396"/>
      <c r="B50" s="396"/>
      <c r="C50" s="396"/>
      <c r="D50" s="396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9"/>
  <sheetViews>
    <sheetView workbookViewId="0">
      <selection activeCell="A2" sqref="A2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24" style="346" customWidth="1"/>
    <col min="4" max="4" width="18.453125" style="346" customWidth="1"/>
    <col min="5" max="16384" width="9.1796875" style="346"/>
  </cols>
  <sheetData>
    <row r="1" spans="1:6" ht="24" thickBot="1" x14ac:dyDescent="0.6">
      <c r="A1" s="207" t="s">
        <v>165</v>
      </c>
      <c r="B1" s="347"/>
      <c r="C1" s="347"/>
    </row>
    <row r="2" spans="1:6" ht="19" thickBot="1" x14ac:dyDescent="0.5">
      <c r="A2" s="82" t="s">
        <v>129</v>
      </c>
      <c r="B2" s="239" t="s">
        <v>134</v>
      </c>
      <c r="C2" s="239" t="s">
        <v>163</v>
      </c>
      <c r="D2" s="240" t="s">
        <v>164</v>
      </c>
    </row>
    <row r="3" spans="1:6" ht="15" thickBot="1" x14ac:dyDescent="0.4">
      <c r="A3" s="203" t="s">
        <v>77</v>
      </c>
      <c r="B3" s="398"/>
      <c r="C3" s="398"/>
      <c r="D3" s="204"/>
    </row>
    <row r="4" spans="1:6" x14ac:dyDescent="0.35">
      <c r="A4" s="450" t="s">
        <v>78</v>
      </c>
      <c r="B4" s="211">
        <v>1136</v>
      </c>
      <c r="C4" s="83"/>
      <c r="D4" s="211">
        <f>633*1.05</f>
        <v>664.65</v>
      </c>
      <c r="E4" s="499"/>
    </row>
    <row r="5" spans="1:6" x14ac:dyDescent="0.35">
      <c r="A5" s="226" t="s">
        <v>79</v>
      </c>
      <c r="B5" s="212">
        <v>66</v>
      </c>
      <c r="C5" s="155"/>
      <c r="D5" s="212">
        <v>60</v>
      </c>
    </row>
    <row r="6" spans="1:6" x14ac:dyDescent="0.35">
      <c r="A6" s="226" t="s">
        <v>80</v>
      </c>
      <c r="B6" s="212">
        <v>412</v>
      </c>
      <c r="C6" s="103"/>
      <c r="D6" s="212">
        <f>(D4+D5)*0.3642</f>
        <v>263.91753</v>
      </c>
      <c r="F6" s="196"/>
    </row>
    <row r="7" spans="1:6" x14ac:dyDescent="0.35">
      <c r="A7" s="226" t="s">
        <v>81</v>
      </c>
      <c r="B7" s="213"/>
      <c r="C7" s="155"/>
      <c r="D7" s="213"/>
    </row>
    <row r="8" spans="1:6" x14ac:dyDescent="0.35">
      <c r="A8" s="226" t="s">
        <v>98</v>
      </c>
      <c r="B8" s="213"/>
      <c r="C8" s="155"/>
      <c r="D8" s="213"/>
    </row>
    <row r="9" spans="1:6" x14ac:dyDescent="0.35">
      <c r="A9" s="226" t="s">
        <v>82</v>
      </c>
      <c r="B9" s="212"/>
      <c r="C9" s="155"/>
      <c r="D9" s="212"/>
    </row>
    <row r="10" spans="1:6" x14ac:dyDescent="0.35">
      <c r="A10" s="226" t="s">
        <v>83</v>
      </c>
      <c r="B10" s="212">
        <v>39</v>
      </c>
      <c r="C10" s="155"/>
      <c r="D10" s="212">
        <v>14</v>
      </c>
    </row>
    <row r="11" spans="1:6" x14ac:dyDescent="0.35">
      <c r="A11" s="226" t="s">
        <v>84</v>
      </c>
      <c r="B11" s="212"/>
      <c r="C11" s="155"/>
      <c r="D11" s="212"/>
    </row>
    <row r="12" spans="1:6" ht="15" thickBot="1" x14ac:dyDescent="0.4">
      <c r="A12" s="227"/>
      <c r="B12" s="214"/>
      <c r="C12" s="84"/>
      <c r="D12" s="214"/>
    </row>
    <row r="13" spans="1:6" ht="15" thickBot="1" x14ac:dyDescent="0.4">
      <c r="A13" s="159" t="s">
        <v>85</v>
      </c>
      <c r="B13" s="215">
        <v>1653</v>
      </c>
      <c r="C13" s="215">
        <v>1570</v>
      </c>
      <c r="D13" s="215">
        <f>SUM(D4:D12)</f>
        <v>1002.56753</v>
      </c>
      <c r="F13" s="196"/>
    </row>
    <row r="14" spans="1:6" ht="15" thickBot="1" x14ac:dyDescent="0.4">
      <c r="A14" s="609"/>
      <c r="B14" s="610"/>
      <c r="C14" s="104"/>
      <c r="D14" s="195"/>
    </row>
    <row r="15" spans="1:6" ht="15" thickBot="1" x14ac:dyDescent="0.4">
      <c r="A15" s="199" t="s">
        <v>1</v>
      </c>
      <c r="B15" s="253"/>
      <c r="C15" s="105"/>
      <c r="D15" s="200"/>
    </row>
    <row r="16" spans="1:6" x14ac:dyDescent="0.35">
      <c r="A16" s="357" t="s">
        <v>86</v>
      </c>
      <c r="B16" s="254"/>
      <c r="C16" s="254"/>
      <c r="D16" s="216"/>
    </row>
    <row r="17" spans="1:4" x14ac:dyDescent="0.35">
      <c r="A17" s="234" t="s">
        <v>87</v>
      </c>
      <c r="B17" s="255"/>
      <c r="C17" s="255"/>
      <c r="D17" s="217"/>
    </row>
    <row r="18" spans="1:4" x14ac:dyDescent="0.35">
      <c r="A18" s="234" t="s">
        <v>88</v>
      </c>
      <c r="B18" s="255"/>
      <c r="C18" s="255"/>
      <c r="D18" s="217"/>
    </row>
    <row r="19" spans="1:4" x14ac:dyDescent="0.35">
      <c r="A19" s="358" t="s">
        <v>89</v>
      </c>
      <c r="B19" s="256"/>
      <c r="C19" s="256"/>
      <c r="D19" s="218"/>
    </row>
    <row r="20" spans="1:4" ht="15" thickBot="1" x14ac:dyDescent="0.4">
      <c r="A20" s="358"/>
      <c r="B20" s="256"/>
      <c r="C20" s="256"/>
      <c r="D20" s="218"/>
    </row>
    <row r="21" spans="1:4" ht="15" thickBot="1" x14ac:dyDescent="0.4">
      <c r="A21" s="360" t="s">
        <v>85</v>
      </c>
      <c r="B21" s="257">
        <v>200</v>
      </c>
      <c r="C21" s="257">
        <v>28</v>
      </c>
      <c r="D21" s="269">
        <v>30</v>
      </c>
    </row>
    <row r="22" spans="1:4" ht="15" thickBot="1" x14ac:dyDescent="0.4">
      <c r="A22" s="609"/>
      <c r="B22" s="610"/>
      <c r="C22" s="104"/>
      <c r="D22" s="198"/>
    </row>
    <row r="23" spans="1:4" ht="15" thickBot="1" x14ac:dyDescent="0.4">
      <c r="A23" s="205" t="s">
        <v>2</v>
      </c>
      <c r="B23" s="259"/>
      <c r="C23" s="106"/>
      <c r="D23" s="206"/>
    </row>
    <row r="24" spans="1:4" ht="15" thickBot="1" x14ac:dyDescent="0.4">
      <c r="A24" s="364" t="s">
        <v>90</v>
      </c>
      <c r="B24" s="260"/>
      <c r="C24" s="260"/>
      <c r="D24" s="243"/>
    </row>
    <row r="25" spans="1:4" ht="15" thickBot="1" x14ac:dyDescent="0.4">
      <c r="A25" s="366" t="s">
        <v>85</v>
      </c>
      <c r="B25" s="261">
        <v>0</v>
      </c>
      <c r="C25" s="261">
        <v>1</v>
      </c>
      <c r="D25" s="169">
        <v>3</v>
      </c>
    </row>
    <row r="26" spans="1:4" ht="15" thickBot="1" x14ac:dyDescent="0.4">
      <c r="A26" s="194"/>
      <c r="B26" s="258"/>
      <c r="C26" s="104"/>
      <c r="D26" s="198"/>
    </row>
    <row r="27" spans="1:4" ht="15" thickBot="1" x14ac:dyDescent="0.4">
      <c r="A27" s="202" t="s">
        <v>91</v>
      </c>
      <c r="B27" s="262"/>
      <c r="C27" s="107"/>
      <c r="D27" s="208"/>
    </row>
    <row r="28" spans="1:4" ht="15" thickBot="1" x14ac:dyDescent="0.4">
      <c r="A28" s="370" t="s">
        <v>92</v>
      </c>
      <c r="B28" s="263"/>
      <c r="C28" s="263"/>
      <c r="D28" s="246"/>
    </row>
    <row r="29" spans="1:4" ht="15" thickBot="1" x14ac:dyDescent="0.4">
      <c r="A29" s="372" t="s">
        <v>85</v>
      </c>
      <c r="B29" s="264">
        <v>5</v>
      </c>
      <c r="C29" s="264"/>
      <c r="D29" s="170">
        <v>5</v>
      </c>
    </row>
    <row r="30" spans="1:4" ht="15" thickBot="1" x14ac:dyDescent="0.4">
      <c r="A30" s="609"/>
      <c r="B30" s="610"/>
      <c r="C30" s="104"/>
      <c r="D30" s="198"/>
    </row>
    <row r="31" spans="1:4" ht="15" thickBot="1" x14ac:dyDescent="0.4">
      <c r="A31" s="86" t="s">
        <v>3</v>
      </c>
      <c r="B31" s="88">
        <v>0</v>
      </c>
      <c r="C31" s="88"/>
      <c r="D31" s="439"/>
    </row>
    <row r="32" spans="1:4" ht="15" thickBot="1" x14ac:dyDescent="0.4">
      <c r="A32" s="377" t="s">
        <v>85</v>
      </c>
      <c r="B32" s="440">
        <v>0</v>
      </c>
      <c r="C32" s="440"/>
      <c r="D32" s="490"/>
    </row>
    <row r="33" spans="1:6" ht="15" thickBot="1" x14ac:dyDescent="0.4">
      <c r="A33" s="609"/>
      <c r="B33" s="610"/>
      <c r="C33" s="104"/>
      <c r="D33" s="201"/>
    </row>
    <row r="34" spans="1:6" ht="15" thickBot="1" x14ac:dyDescent="0.4">
      <c r="A34" s="209" t="s">
        <v>5</v>
      </c>
      <c r="B34" s="265"/>
      <c r="C34" s="108"/>
      <c r="D34" s="210"/>
    </row>
    <row r="35" spans="1:6" x14ac:dyDescent="0.35">
      <c r="A35" s="475" t="s">
        <v>93</v>
      </c>
      <c r="B35" s="174"/>
      <c r="C35" s="174"/>
      <c r="D35" s="476"/>
    </row>
    <row r="36" spans="1:6" x14ac:dyDescent="0.35">
      <c r="A36" s="236" t="s">
        <v>94</v>
      </c>
      <c r="B36" s="267"/>
      <c r="C36" s="267"/>
      <c r="D36" s="220"/>
    </row>
    <row r="37" spans="1:6" x14ac:dyDescent="0.35">
      <c r="A37" s="236" t="s">
        <v>95</v>
      </c>
      <c r="B37" s="267"/>
      <c r="C37" s="267"/>
      <c r="D37" s="221"/>
    </row>
    <row r="38" spans="1:6" x14ac:dyDescent="0.35">
      <c r="A38" s="236" t="s">
        <v>96</v>
      </c>
      <c r="B38" s="267"/>
      <c r="C38" s="267"/>
      <c r="D38" s="221"/>
    </row>
    <row r="39" spans="1:6" x14ac:dyDescent="0.35">
      <c r="A39" s="236" t="s">
        <v>97</v>
      </c>
      <c r="B39" s="267"/>
      <c r="C39" s="267"/>
      <c r="D39" s="221"/>
      <c r="F39" s="85"/>
    </row>
    <row r="40" spans="1:6" ht="15" thickBot="1" x14ac:dyDescent="0.4">
      <c r="A40" s="467" t="s">
        <v>99</v>
      </c>
      <c r="B40" s="468"/>
      <c r="C40" s="468"/>
      <c r="D40" s="477"/>
    </row>
    <row r="41" spans="1:6" ht="15" thickBot="1" x14ac:dyDescent="0.4">
      <c r="A41" s="469" t="s">
        <v>85</v>
      </c>
      <c r="B41" s="470">
        <v>10</v>
      </c>
      <c r="C41" s="470">
        <v>7</v>
      </c>
      <c r="D41" s="474">
        <v>20</v>
      </c>
    </row>
    <row r="42" spans="1:6" ht="15" thickBot="1" x14ac:dyDescent="0.4">
      <c r="A42" s="611"/>
      <c r="B42" s="612"/>
      <c r="C42" s="109"/>
      <c r="D42" s="251"/>
    </row>
    <row r="43" spans="1:6" ht="19" thickBot="1" x14ac:dyDescent="0.5">
      <c r="A43" s="391" t="s">
        <v>10</v>
      </c>
      <c r="B43" s="252">
        <v>1868</v>
      </c>
      <c r="C43" s="252">
        <v>1606</v>
      </c>
      <c r="D43" s="252">
        <f>D13+D21+D25+D29+D41</f>
        <v>1060.56753</v>
      </c>
    </row>
    <row r="44" spans="1:6" x14ac:dyDescent="0.35">
      <c r="A44" s="396"/>
      <c r="B44" s="396"/>
      <c r="C44" s="396"/>
      <c r="D44" s="396"/>
    </row>
    <row r="45" spans="1:6" ht="27.65" customHeight="1" x14ac:dyDescent="0.35">
      <c r="A45" s="527"/>
      <c r="B45" s="527"/>
      <c r="C45" s="527"/>
      <c r="D45" s="527"/>
    </row>
    <row r="46" spans="1:6" x14ac:dyDescent="0.35">
      <c r="A46" s="396"/>
      <c r="B46" s="396"/>
      <c r="C46" s="396"/>
      <c r="D46" s="396"/>
    </row>
    <row r="47" spans="1:6" x14ac:dyDescent="0.35">
      <c r="A47" s="396"/>
      <c r="B47" s="396"/>
      <c r="C47" s="396"/>
      <c r="D47" s="396"/>
    </row>
    <row r="48" spans="1:6" x14ac:dyDescent="0.35">
      <c r="A48" s="396"/>
      <c r="B48" s="110"/>
      <c r="C48" s="396"/>
      <c r="D48" s="396"/>
    </row>
    <row r="49" spans="1:4" x14ac:dyDescent="0.35">
      <c r="A49" s="396"/>
      <c r="B49" s="396"/>
      <c r="C49" s="396"/>
      <c r="D49" s="396"/>
    </row>
  </sheetData>
  <mergeCells count="5">
    <mergeCell ref="A14:B14"/>
    <mergeCell ref="A22:B22"/>
    <mergeCell ref="A30:B30"/>
    <mergeCell ref="A33:B33"/>
    <mergeCell ref="A42:B42"/>
  </mergeCells>
  <pageMargins left="0.7" right="0.7" top="0.78740157499999996" bottom="0.78740157499999996" header="0.3" footer="0.3"/>
  <pageSetup paperSize="9" scale="8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52"/>
  <sheetViews>
    <sheetView workbookViewId="0">
      <selection activeCell="A3" sqref="A3"/>
    </sheetView>
  </sheetViews>
  <sheetFormatPr defaultColWidth="9.1796875" defaultRowHeight="14.5" x14ac:dyDescent="0.35"/>
  <cols>
    <col min="1" max="1" width="42.7265625" style="346" customWidth="1"/>
    <col min="2" max="4" width="25.7265625" style="397" customWidth="1"/>
    <col min="5" max="5" width="2.453125" style="346" hidden="1" customWidth="1"/>
    <col min="6" max="6" width="17.7265625" style="196" hidden="1" customWidth="1"/>
    <col min="7" max="8" width="16.54296875" style="196" hidden="1" customWidth="1"/>
    <col min="9" max="11" width="15.7265625" style="196" hidden="1" customWidth="1"/>
    <col min="12" max="16" width="14.54296875" style="196" hidden="1" customWidth="1"/>
    <col min="17" max="18" width="15.7265625" style="196" hidden="1" customWidth="1"/>
    <col min="19" max="22" width="14.54296875" style="196" hidden="1" customWidth="1"/>
    <col min="23" max="23" width="17.26953125" style="196" hidden="1" customWidth="1"/>
    <col min="24" max="16384" width="9.1796875" style="346"/>
  </cols>
  <sheetData>
    <row r="1" spans="1:25" ht="19" thickBot="1" x14ac:dyDescent="0.5">
      <c r="A1" s="347" t="s">
        <v>165</v>
      </c>
    </row>
    <row r="2" spans="1:25" ht="19" thickBot="1" x14ac:dyDescent="0.4">
      <c r="B2" s="348" t="s">
        <v>134</v>
      </c>
      <c r="C2" s="400" t="s">
        <v>163</v>
      </c>
      <c r="D2" s="348" t="s">
        <v>164</v>
      </c>
      <c r="F2" s="552" t="s">
        <v>199</v>
      </c>
      <c r="G2" s="552"/>
      <c r="H2" s="552"/>
      <c r="I2" s="552"/>
      <c r="J2" s="552"/>
      <c r="K2" s="553"/>
      <c r="M2" s="553"/>
      <c r="O2" s="553"/>
      <c r="Q2" s="553"/>
      <c r="U2" s="553"/>
      <c r="W2" s="552"/>
    </row>
    <row r="3" spans="1:25" ht="19" thickBot="1" x14ac:dyDescent="0.4">
      <c r="A3" s="410" t="s">
        <v>217</v>
      </c>
      <c r="B3" s="348" t="s">
        <v>11</v>
      </c>
      <c r="C3" s="348" t="s">
        <v>11</v>
      </c>
      <c r="D3" s="348" t="s">
        <v>11</v>
      </c>
      <c r="F3" s="348" t="s">
        <v>200</v>
      </c>
      <c r="G3" s="613">
        <v>3911</v>
      </c>
      <c r="H3" s="614"/>
      <c r="I3" s="613" t="s">
        <v>201</v>
      </c>
      <c r="J3" s="614"/>
      <c r="K3" s="613" t="s">
        <v>202</v>
      </c>
      <c r="L3" s="614"/>
      <c r="M3" s="613" t="s">
        <v>203</v>
      </c>
      <c r="N3" s="614"/>
      <c r="O3" s="613" t="s">
        <v>204</v>
      </c>
      <c r="P3" s="614"/>
      <c r="Q3" s="613" t="s">
        <v>205</v>
      </c>
      <c r="R3" s="614"/>
      <c r="S3" s="613" t="s">
        <v>206</v>
      </c>
      <c r="T3" s="614"/>
      <c r="U3" s="613" t="s">
        <v>207</v>
      </c>
      <c r="V3" s="614"/>
      <c r="W3" s="348" t="s">
        <v>106</v>
      </c>
    </row>
    <row r="4" spans="1:25" ht="15" thickBot="1" x14ac:dyDescent="0.4">
      <c r="A4" s="349" t="s">
        <v>77</v>
      </c>
      <c r="B4" s="398" t="s">
        <v>122</v>
      </c>
      <c r="C4" s="399" t="s">
        <v>121</v>
      </c>
      <c r="D4" s="398" t="s">
        <v>122</v>
      </c>
      <c r="F4" s="554"/>
      <c r="G4" s="554">
        <v>11</v>
      </c>
      <c r="H4" s="555">
        <v>30</v>
      </c>
      <c r="I4" s="554">
        <v>11</v>
      </c>
      <c r="J4" s="555">
        <v>30</v>
      </c>
      <c r="K4" s="554">
        <v>11</v>
      </c>
      <c r="L4" s="555">
        <v>30</v>
      </c>
      <c r="M4" s="554">
        <v>11</v>
      </c>
      <c r="N4" s="555">
        <v>30</v>
      </c>
      <c r="O4" s="554">
        <v>11</v>
      </c>
      <c r="P4" s="555">
        <v>30</v>
      </c>
      <c r="Q4" s="554">
        <v>11</v>
      </c>
      <c r="R4" s="555">
        <v>30</v>
      </c>
      <c r="S4" s="556"/>
      <c r="T4" s="556"/>
      <c r="U4" s="554">
        <v>11</v>
      </c>
      <c r="V4" s="556">
        <v>30</v>
      </c>
      <c r="W4" s="554" t="s">
        <v>208</v>
      </c>
    </row>
    <row r="5" spans="1:25" x14ac:dyDescent="0.35">
      <c r="A5" s="350" t="s">
        <v>78</v>
      </c>
      <c r="B5" s="351">
        <v>2731</v>
      </c>
      <c r="C5" s="351">
        <f t="shared" ref="C5:C11" si="0">F5/1000</f>
        <v>2568.7399999999998</v>
      </c>
      <c r="D5" s="351">
        <f>3167*1.05</f>
        <v>3325.3500000000004</v>
      </c>
      <c r="E5" s="346" t="s">
        <v>123</v>
      </c>
      <c r="F5" s="557">
        <f>SUM(G5:W5)</f>
        <v>2568740</v>
      </c>
      <c r="G5" s="557">
        <f>313037+148597+4349+212146</f>
        <v>678129</v>
      </c>
      <c r="H5" s="95">
        <f>917842+339172+4349+629248</f>
        <v>1890611</v>
      </c>
      <c r="I5" s="557"/>
      <c r="J5" s="95"/>
      <c r="K5" s="557"/>
      <c r="L5" s="95"/>
      <c r="M5" s="557"/>
      <c r="N5" s="95"/>
      <c r="O5" s="557"/>
      <c r="P5" s="95"/>
      <c r="Q5" s="557"/>
      <c r="R5" s="95"/>
      <c r="S5" s="403"/>
      <c r="T5" s="403"/>
      <c r="U5" s="557"/>
      <c r="V5" s="403"/>
      <c r="W5" s="557"/>
      <c r="X5" s="499" t="s">
        <v>173</v>
      </c>
    </row>
    <row r="6" spans="1:25" x14ac:dyDescent="0.35">
      <c r="A6" s="352" t="s">
        <v>79</v>
      </c>
      <c r="B6" s="351">
        <v>318</v>
      </c>
      <c r="C6" s="351">
        <f t="shared" si="0"/>
        <v>275.5</v>
      </c>
      <c r="D6" s="351">
        <v>380</v>
      </c>
      <c r="F6" s="557">
        <f t="shared" ref="F6:F11" si="1">SUM(G6:W6)</f>
        <v>275500</v>
      </c>
      <c r="G6" s="557">
        <v>129000</v>
      </c>
      <c r="H6" s="95">
        <v>146500</v>
      </c>
      <c r="I6" s="557"/>
      <c r="J6" s="95"/>
      <c r="K6" s="557"/>
      <c r="L6" s="95"/>
      <c r="M6" s="557"/>
      <c r="N6" s="95"/>
      <c r="O6" s="557"/>
      <c r="P6" s="95"/>
      <c r="Q6" s="557"/>
      <c r="R6" s="95"/>
      <c r="S6" s="403"/>
      <c r="T6" s="403"/>
      <c r="U6" s="557"/>
      <c r="V6" s="403"/>
      <c r="W6" s="557"/>
    </row>
    <row r="7" spans="1:25" x14ac:dyDescent="0.35">
      <c r="A7" s="352" t="s">
        <v>80</v>
      </c>
      <c r="B7" s="351">
        <v>1111</v>
      </c>
      <c r="C7" s="351">
        <f t="shared" si="0"/>
        <v>1052.5583099999999</v>
      </c>
      <c r="D7" s="351">
        <v>1267</v>
      </c>
      <c r="F7" s="557">
        <f t="shared" si="1"/>
        <v>1052558.3099999998</v>
      </c>
      <c r="G7" s="557">
        <f>78447.55+216164.21+6039.1+2361.72+16142.58</f>
        <v>319155.15999999997</v>
      </c>
      <c r="H7" s="95">
        <f>182952.21+504124.97+5583.75+40742.22</f>
        <v>733403.14999999991</v>
      </c>
      <c r="I7" s="557"/>
      <c r="J7" s="95"/>
      <c r="K7" s="557"/>
      <c r="L7" s="95"/>
      <c r="M7" s="557"/>
      <c r="N7" s="95"/>
      <c r="O7" s="557"/>
      <c r="P7" s="95"/>
      <c r="Q7" s="557"/>
      <c r="R7" s="95"/>
      <c r="S7" s="403"/>
      <c r="T7" s="403"/>
      <c r="U7" s="557"/>
      <c r="V7" s="403"/>
      <c r="W7" s="557"/>
    </row>
    <row r="8" spans="1:25" x14ac:dyDescent="0.35">
      <c r="A8" s="352" t="s">
        <v>81</v>
      </c>
      <c r="B8" s="351">
        <f>155000/1000</f>
        <v>155</v>
      </c>
      <c r="C8" s="351">
        <f t="shared" si="0"/>
        <v>68.849999999999994</v>
      </c>
      <c r="D8" s="351">
        <v>40</v>
      </c>
      <c r="F8" s="557">
        <f t="shared" si="1"/>
        <v>68850</v>
      </c>
      <c r="G8" s="557">
        <v>68850</v>
      </c>
      <c r="H8" s="95"/>
      <c r="I8" s="557"/>
      <c r="J8" s="95"/>
      <c r="K8" s="557"/>
      <c r="L8" s="95"/>
      <c r="M8" s="557"/>
      <c r="N8" s="95"/>
      <c r="O8" s="557"/>
      <c r="P8" s="95"/>
      <c r="Q8" s="557"/>
      <c r="R8" s="95"/>
      <c r="S8" s="403"/>
      <c r="T8" s="403"/>
      <c r="U8" s="557"/>
      <c r="V8" s="403"/>
      <c r="W8" s="557"/>
    </row>
    <row r="9" spans="1:25" x14ac:dyDescent="0.35">
      <c r="A9" s="352" t="s">
        <v>142</v>
      </c>
      <c r="B9" s="351">
        <f>53351.3442/1000</f>
        <v>53.3513442</v>
      </c>
      <c r="C9" s="351">
        <f t="shared" si="0"/>
        <v>0</v>
      </c>
      <c r="D9" s="351">
        <v>14</v>
      </c>
      <c r="F9" s="557">
        <f t="shared" si="1"/>
        <v>0</v>
      </c>
      <c r="G9" s="557"/>
      <c r="H9" s="95"/>
      <c r="I9" s="557"/>
      <c r="J9" s="95"/>
      <c r="K9" s="557"/>
      <c r="L9" s="95"/>
      <c r="M9" s="557"/>
      <c r="N9" s="95"/>
      <c r="O9" s="557"/>
      <c r="P9" s="95"/>
      <c r="Q9" s="557"/>
      <c r="R9" s="95"/>
      <c r="S9" s="403"/>
      <c r="T9" s="403"/>
      <c r="U9" s="557"/>
      <c r="V9" s="403"/>
      <c r="W9" s="557"/>
    </row>
    <row r="10" spans="1:25" x14ac:dyDescent="0.35">
      <c r="A10" s="352" t="s">
        <v>82</v>
      </c>
      <c r="B10" s="351">
        <f>100000/1000</f>
        <v>100</v>
      </c>
      <c r="C10" s="351">
        <f t="shared" si="0"/>
        <v>0</v>
      </c>
      <c r="D10" s="351">
        <v>39.96</v>
      </c>
      <c r="F10" s="557">
        <f t="shared" si="1"/>
        <v>0</v>
      </c>
      <c r="G10" s="557"/>
      <c r="H10" s="95"/>
      <c r="I10" s="557"/>
      <c r="J10" s="95"/>
      <c r="K10" s="557"/>
      <c r="L10" s="95"/>
      <c r="M10" s="557"/>
      <c r="N10" s="95"/>
      <c r="O10" s="557"/>
      <c r="P10" s="95"/>
      <c r="Q10" s="557"/>
      <c r="R10" s="95"/>
      <c r="S10" s="403"/>
      <c r="T10" s="403"/>
      <c r="U10" s="557"/>
      <c r="V10" s="403"/>
      <c r="W10" s="557"/>
    </row>
    <row r="11" spans="1:25" x14ac:dyDescent="0.35">
      <c r="A11" s="352" t="s">
        <v>83</v>
      </c>
      <c r="B11" s="351">
        <v>93</v>
      </c>
      <c r="C11" s="351">
        <f t="shared" si="0"/>
        <v>74.418000000000006</v>
      </c>
      <c r="D11" s="351">
        <v>111</v>
      </c>
      <c r="F11" s="557">
        <f t="shared" si="1"/>
        <v>74418</v>
      </c>
      <c r="G11" s="557">
        <v>74418</v>
      </c>
      <c r="H11" s="95"/>
      <c r="I11" s="557"/>
      <c r="J11" s="95"/>
      <c r="K11" s="557"/>
      <c r="L11" s="95"/>
      <c r="M11" s="557"/>
      <c r="N11" s="95"/>
      <c r="O11" s="557"/>
      <c r="P11" s="95"/>
      <c r="Q11" s="557"/>
      <c r="R11" s="95"/>
      <c r="S11" s="403"/>
      <c r="T11" s="403"/>
      <c r="U11" s="557"/>
      <c r="V11" s="403"/>
      <c r="W11" s="557"/>
    </row>
    <row r="12" spans="1:25" ht="15" thickBot="1" x14ac:dyDescent="0.4">
      <c r="A12" s="478" t="s">
        <v>143</v>
      </c>
      <c r="B12" s="479">
        <v>10</v>
      </c>
      <c r="C12" s="479"/>
      <c r="D12" s="479">
        <v>3</v>
      </c>
      <c r="F12" s="557"/>
      <c r="G12" s="557"/>
      <c r="H12" s="95"/>
      <c r="I12" s="557"/>
      <c r="J12" s="95"/>
      <c r="K12" s="557"/>
      <c r="L12" s="95"/>
      <c r="M12" s="557"/>
      <c r="N12" s="95"/>
      <c r="O12" s="557"/>
      <c r="P12" s="95"/>
      <c r="Q12" s="557"/>
      <c r="R12" s="95"/>
      <c r="S12" s="403"/>
      <c r="T12" s="403"/>
      <c r="U12" s="557"/>
      <c r="V12" s="403"/>
      <c r="W12" s="557"/>
    </row>
    <row r="13" spans="1:25" ht="15" thickBot="1" x14ac:dyDescent="0.4">
      <c r="A13" s="353" t="s">
        <v>85</v>
      </c>
      <c r="B13" s="354">
        <f>SUM(B5:B12)</f>
        <v>4571.3513442000003</v>
      </c>
      <c r="C13" s="354">
        <f>SUM(C5:C11)</f>
        <v>4040.0663099999997</v>
      </c>
      <c r="D13" s="354">
        <f>SUM(D5:D12)</f>
        <v>5180.3100000000004</v>
      </c>
      <c r="F13" s="354">
        <f>SUM(G13:V13)</f>
        <v>4040066.3099999996</v>
      </c>
      <c r="G13" s="354">
        <f t="shared" ref="G13:V13" si="2">SUM(G5:G11)</f>
        <v>1269552.1599999999</v>
      </c>
      <c r="H13" s="354">
        <f t="shared" si="2"/>
        <v>2770514.15</v>
      </c>
      <c r="I13" s="354">
        <f t="shared" si="2"/>
        <v>0</v>
      </c>
      <c r="J13" s="354">
        <f t="shared" si="2"/>
        <v>0</v>
      </c>
      <c r="K13" s="354">
        <f t="shared" si="2"/>
        <v>0</v>
      </c>
      <c r="L13" s="354">
        <f t="shared" si="2"/>
        <v>0</v>
      </c>
      <c r="M13" s="354">
        <f t="shared" si="2"/>
        <v>0</v>
      </c>
      <c r="N13" s="354">
        <f t="shared" si="2"/>
        <v>0</v>
      </c>
      <c r="O13" s="354">
        <f t="shared" si="2"/>
        <v>0</v>
      </c>
      <c r="P13" s="354">
        <f t="shared" si="2"/>
        <v>0</v>
      </c>
      <c r="Q13" s="354">
        <f t="shared" si="2"/>
        <v>0</v>
      </c>
      <c r="R13" s="354">
        <f t="shared" si="2"/>
        <v>0</v>
      </c>
      <c r="S13" s="354">
        <f t="shared" si="2"/>
        <v>0</v>
      </c>
      <c r="T13" s="354">
        <f t="shared" si="2"/>
        <v>0</v>
      </c>
      <c r="U13" s="354">
        <f t="shared" si="2"/>
        <v>0</v>
      </c>
      <c r="V13" s="354">
        <f t="shared" si="2"/>
        <v>0</v>
      </c>
      <c r="W13" s="354">
        <f>B13*1000-F13</f>
        <v>531285.03420000058</v>
      </c>
    </row>
    <row r="14" spans="1:25" ht="15" thickBot="1" x14ac:dyDescent="0.4">
      <c r="A14" s="401"/>
      <c r="B14" s="402"/>
      <c r="C14" s="402"/>
      <c r="D14" s="402"/>
      <c r="F14" s="557"/>
      <c r="G14" s="557"/>
      <c r="H14" s="95"/>
      <c r="I14" s="557"/>
      <c r="J14" s="95"/>
      <c r="K14" s="557"/>
      <c r="L14" s="95"/>
      <c r="M14" s="557"/>
      <c r="N14" s="95"/>
      <c r="O14" s="557"/>
      <c r="P14" s="95"/>
      <c r="Q14" s="557"/>
      <c r="R14" s="95"/>
      <c r="S14" s="403"/>
      <c r="T14" s="403"/>
      <c r="U14" s="557"/>
      <c r="V14" s="403"/>
      <c r="W14" s="557"/>
    </row>
    <row r="15" spans="1:25" ht="15" thickBot="1" x14ac:dyDescent="0.4">
      <c r="A15" s="355" t="s">
        <v>1</v>
      </c>
      <c r="B15" s="356"/>
      <c r="C15" s="356"/>
      <c r="D15" s="356"/>
      <c r="F15" s="557"/>
      <c r="G15" s="557"/>
      <c r="H15" s="95"/>
      <c r="I15" s="557"/>
      <c r="J15" s="95"/>
      <c r="K15" s="557"/>
      <c r="L15" s="95"/>
      <c r="M15" s="557"/>
      <c r="N15" s="95"/>
      <c r="O15" s="557"/>
      <c r="P15" s="95"/>
      <c r="Q15" s="557"/>
      <c r="R15" s="95"/>
      <c r="S15" s="403"/>
      <c r="T15" s="403"/>
      <c r="U15" s="557"/>
      <c r="V15" s="403"/>
      <c r="W15" s="557"/>
    </row>
    <row r="16" spans="1:25" ht="15" thickBot="1" x14ac:dyDescent="0.4">
      <c r="A16" s="358" t="s">
        <v>89</v>
      </c>
      <c r="B16" s="359">
        <f>1225+225</f>
        <v>1450</v>
      </c>
      <c r="C16" s="359">
        <f>F16/1000</f>
        <v>1281.4657899999997</v>
      </c>
      <c r="D16" s="359">
        <f>B16+125+60</f>
        <v>1635</v>
      </c>
      <c r="E16" s="346" t="s">
        <v>124</v>
      </c>
      <c r="F16" s="557">
        <f t="shared" ref="F16" si="3">SUM(G16:W16)</f>
        <v>1281465.7899999998</v>
      </c>
      <c r="G16" s="557">
        <f>56204.85+34.98+3974.75+92306.86</f>
        <v>152521.44</v>
      </c>
      <c r="H16" s="95">
        <f>62044.06+3974.73+12165.17+185930.41</f>
        <v>264114.37</v>
      </c>
      <c r="I16" s="557">
        <f>7347.53+165802.39+233.82+28666.14</f>
        <v>202049.88</v>
      </c>
      <c r="J16" s="95">
        <f>7318.42+407811.64+24382.12</f>
        <v>439512.18</v>
      </c>
      <c r="K16" s="557">
        <f>453.14+104016.11</f>
        <v>104469.25</v>
      </c>
      <c r="L16" s="95"/>
      <c r="M16" s="557">
        <f>137.08+16486.3</f>
        <v>16623.38</v>
      </c>
      <c r="N16" s="95">
        <f>137.07+16233.45</f>
        <v>16370.52</v>
      </c>
      <c r="O16" s="557">
        <f>24399.11+761.27</f>
        <v>25160.38</v>
      </c>
      <c r="P16" s="95">
        <f>28331.34</f>
        <v>28331.34</v>
      </c>
      <c r="Q16" s="557"/>
      <c r="R16" s="95"/>
      <c r="S16" s="403">
        <v>20158.599999999999</v>
      </c>
      <c r="T16" s="403"/>
      <c r="U16" s="557"/>
      <c r="V16" s="95">
        <f>12154.45</f>
        <v>12154.45</v>
      </c>
      <c r="W16" s="557"/>
      <c r="Y16" s="196"/>
    </row>
    <row r="17" spans="1:23" ht="15" thickBot="1" x14ac:dyDescent="0.4">
      <c r="A17" s="360" t="s">
        <v>85</v>
      </c>
      <c r="B17" s="361">
        <f>SUM(B16:B16)</f>
        <v>1450</v>
      </c>
      <c r="C17" s="361">
        <f>SUM(C16:C16)</f>
        <v>1281.4657899999997</v>
      </c>
      <c r="D17" s="361">
        <f>SUM(D16:D16)</f>
        <v>1635</v>
      </c>
      <c r="F17" s="361">
        <f>SUM(G17:V17)</f>
        <v>1281465.7899999998</v>
      </c>
      <c r="G17" s="361">
        <f t="shared" ref="G17:V17" si="4">SUM(G16:G16)</f>
        <v>152521.44</v>
      </c>
      <c r="H17" s="361">
        <f t="shared" si="4"/>
        <v>264114.37</v>
      </c>
      <c r="I17" s="361">
        <f t="shared" si="4"/>
        <v>202049.88</v>
      </c>
      <c r="J17" s="361">
        <f t="shared" si="4"/>
        <v>439512.18</v>
      </c>
      <c r="K17" s="361">
        <f t="shared" si="4"/>
        <v>104469.25</v>
      </c>
      <c r="L17" s="361">
        <f t="shared" si="4"/>
        <v>0</v>
      </c>
      <c r="M17" s="361">
        <f t="shared" si="4"/>
        <v>16623.38</v>
      </c>
      <c r="N17" s="361">
        <f t="shared" si="4"/>
        <v>16370.52</v>
      </c>
      <c r="O17" s="361">
        <f t="shared" si="4"/>
        <v>25160.38</v>
      </c>
      <c r="P17" s="361">
        <f t="shared" si="4"/>
        <v>28331.34</v>
      </c>
      <c r="Q17" s="361">
        <f t="shared" si="4"/>
        <v>0</v>
      </c>
      <c r="R17" s="361">
        <f t="shared" si="4"/>
        <v>0</v>
      </c>
      <c r="S17" s="361">
        <f t="shared" si="4"/>
        <v>20158.599999999999</v>
      </c>
      <c r="T17" s="361">
        <f t="shared" si="4"/>
        <v>0</v>
      </c>
      <c r="U17" s="361">
        <f t="shared" si="4"/>
        <v>0</v>
      </c>
      <c r="V17" s="558">
        <f t="shared" si="4"/>
        <v>12154.45</v>
      </c>
      <c r="W17" s="361">
        <f>B17*1000-F17</f>
        <v>168534.2100000002</v>
      </c>
    </row>
    <row r="18" spans="1:23" ht="15" thickBot="1" x14ac:dyDescent="0.4">
      <c r="A18" s="401"/>
      <c r="B18" s="402"/>
      <c r="C18" s="402"/>
      <c r="D18" s="402"/>
      <c r="F18" s="557"/>
      <c r="G18" s="557"/>
      <c r="H18" s="95"/>
      <c r="I18" s="557"/>
      <c r="J18" s="95"/>
      <c r="K18" s="557"/>
      <c r="L18" s="95"/>
      <c r="M18" s="557"/>
      <c r="N18" s="95"/>
      <c r="O18" s="557"/>
      <c r="P18" s="95"/>
      <c r="Q18" s="557"/>
      <c r="R18" s="95"/>
      <c r="S18" s="403"/>
      <c r="T18" s="403"/>
      <c r="U18" s="557"/>
      <c r="V18" s="403"/>
      <c r="W18" s="557"/>
    </row>
    <row r="19" spans="1:23" ht="15" thickBot="1" x14ac:dyDescent="0.4">
      <c r="A19" s="362" t="s">
        <v>2</v>
      </c>
      <c r="B19" s="363"/>
      <c r="C19" s="363"/>
      <c r="D19" s="363"/>
      <c r="F19" s="557"/>
      <c r="G19" s="557"/>
      <c r="H19" s="95"/>
      <c r="I19" s="557"/>
      <c r="J19" s="95"/>
      <c r="K19" s="557"/>
      <c r="L19" s="95"/>
      <c r="M19" s="557"/>
      <c r="N19" s="95"/>
      <c r="O19" s="557"/>
      <c r="P19" s="95"/>
      <c r="Q19" s="557"/>
      <c r="R19" s="95"/>
      <c r="S19" s="403"/>
      <c r="T19" s="403"/>
      <c r="U19" s="557"/>
      <c r="V19" s="403"/>
      <c r="W19" s="557"/>
    </row>
    <row r="20" spans="1:23" ht="15" thickBot="1" x14ac:dyDescent="0.4">
      <c r="A20" s="364" t="s">
        <v>90</v>
      </c>
      <c r="B20" s="365">
        <v>10</v>
      </c>
      <c r="C20" s="365"/>
      <c r="D20" s="365">
        <v>10</v>
      </c>
      <c r="F20" s="557">
        <f t="shared" ref="F20" si="5">SUM(G20:W20)</f>
        <v>180</v>
      </c>
      <c r="G20" s="557">
        <v>180</v>
      </c>
      <c r="H20" s="95"/>
      <c r="I20" s="557"/>
      <c r="J20" s="95"/>
      <c r="K20" s="557"/>
      <c r="L20" s="95"/>
      <c r="M20" s="557"/>
      <c r="N20" s="95"/>
      <c r="O20" s="557"/>
      <c r="P20" s="95"/>
      <c r="Q20" s="557"/>
      <c r="R20" s="95"/>
      <c r="S20" s="403"/>
      <c r="T20" s="403"/>
      <c r="U20" s="557"/>
      <c r="V20" s="403"/>
      <c r="W20" s="557"/>
    </row>
    <row r="21" spans="1:23" ht="15" thickBot="1" x14ac:dyDescent="0.4">
      <c r="A21" s="366" t="s">
        <v>85</v>
      </c>
      <c r="B21" s="367">
        <f>SUM(B20)</f>
        <v>10</v>
      </c>
      <c r="C21" s="367">
        <f>SUM(C20)</f>
        <v>0</v>
      </c>
      <c r="D21" s="367">
        <f>SUM(D20)</f>
        <v>10</v>
      </c>
      <c r="F21" s="367">
        <f>SUM(G21:V21)</f>
        <v>180</v>
      </c>
      <c r="G21" s="367">
        <f t="shared" ref="G21:V21" si="6">SUM(G20)</f>
        <v>180</v>
      </c>
      <c r="H21" s="367">
        <f t="shared" si="6"/>
        <v>0</v>
      </c>
      <c r="I21" s="367">
        <f t="shared" si="6"/>
        <v>0</v>
      </c>
      <c r="J21" s="367">
        <f t="shared" si="6"/>
        <v>0</v>
      </c>
      <c r="K21" s="367">
        <f t="shared" si="6"/>
        <v>0</v>
      </c>
      <c r="L21" s="367">
        <f t="shared" si="6"/>
        <v>0</v>
      </c>
      <c r="M21" s="367">
        <f t="shared" si="6"/>
        <v>0</v>
      </c>
      <c r="N21" s="367">
        <f t="shared" si="6"/>
        <v>0</v>
      </c>
      <c r="O21" s="367">
        <f t="shared" si="6"/>
        <v>0</v>
      </c>
      <c r="P21" s="367">
        <f t="shared" si="6"/>
        <v>0</v>
      </c>
      <c r="Q21" s="367">
        <f t="shared" si="6"/>
        <v>0</v>
      </c>
      <c r="R21" s="367">
        <f t="shared" si="6"/>
        <v>0</v>
      </c>
      <c r="S21" s="367">
        <f t="shared" si="6"/>
        <v>0</v>
      </c>
      <c r="T21" s="367">
        <f t="shared" si="6"/>
        <v>0</v>
      </c>
      <c r="U21" s="367">
        <f t="shared" si="6"/>
        <v>0</v>
      </c>
      <c r="V21" s="559">
        <f t="shared" si="6"/>
        <v>0</v>
      </c>
      <c r="W21" s="367">
        <f>B21*1000-F21</f>
        <v>9820</v>
      </c>
    </row>
    <row r="22" spans="1:23" ht="15" thickBot="1" x14ac:dyDescent="0.4">
      <c r="A22" s="401"/>
      <c r="B22" s="402"/>
      <c r="C22" s="402"/>
      <c r="D22" s="402"/>
      <c r="F22" s="557"/>
      <c r="G22" s="557"/>
      <c r="H22" s="95"/>
      <c r="I22" s="557"/>
      <c r="J22" s="95"/>
      <c r="K22" s="557"/>
      <c r="L22" s="95"/>
      <c r="M22" s="557"/>
      <c r="N22" s="95"/>
      <c r="O22" s="557"/>
      <c r="P22" s="95"/>
      <c r="Q22" s="557"/>
      <c r="R22" s="95"/>
      <c r="S22" s="403"/>
      <c r="T22" s="403"/>
      <c r="U22" s="557"/>
      <c r="V22" s="403"/>
      <c r="W22" s="557"/>
    </row>
    <row r="23" spans="1:23" ht="15" thickBot="1" x14ac:dyDescent="0.4">
      <c r="A23" s="368" t="s">
        <v>91</v>
      </c>
      <c r="B23" s="369"/>
      <c r="C23" s="369"/>
      <c r="D23" s="369"/>
      <c r="F23" s="557"/>
      <c r="G23" s="557"/>
      <c r="H23" s="95"/>
      <c r="I23" s="557"/>
      <c r="J23" s="95"/>
      <c r="K23" s="557"/>
      <c r="L23" s="95"/>
      <c r="M23" s="557"/>
      <c r="N23" s="95"/>
      <c r="O23" s="557"/>
      <c r="P23" s="95"/>
      <c r="Q23" s="557"/>
      <c r="R23" s="95"/>
      <c r="S23" s="403"/>
      <c r="T23" s="403"/>
      <c r="U23" s="557"/>
      <c r="V23" s="403"/>
      <c r="W23" s="557"/>
    </row>
    <row r="24" spans="1:23" ht="15" thickBot="1" x14ac:dyDescent="0.4">
      <c r="A24" s="370" t="s">
        <v>92</v>
      </c>
      <c r="B24" s="371">
        <f>2250+300</f>
        <v>2550</v>
      </c>
      <c r="C24" s="371">
        <f>F24/1000</f>
        <v>2247.1370999999999</v>
      </c>
      <c r="D24" s="371">
        <f>B24-300-225+900+150+150</f>
        <v>3225</v>
      </c>
      <c r="E24" s="346" t="s">
        <v>135</v>
      </c>
      <c r="F24" s="557">
        <f t="shared" ref="F24" si="7">SUM(G24:W24)</f>
        <v>2247137.1</v>
      </c>
      <c r="G24" s="557"/>
      <c r="H24" s="95"/>
      <c r="I24" s="557">
        <f>336819.43+51585.51</f>
        <v>388404.94</v>
      </c>
      <c r="J24" s="95">
        <f>758487.27+111845.78</f>
        <v>870333.05</v>
      </c>
      <c r="K24" s="557">
        <f>244406.45+10715.41</f>
        <v>255121.86000000002</v>
      </c>
      <c r="L24" s="95"/>
      <c r="M24" s="557">
        <f>28116.83+11166.96</f>
        <v>39283.79</v>
      </c>
      <c r="N24" s="95">
        <f>83131.06+12455.45</f>
        <v>95586.51</v>
      </c>
      <c r="O24" s="557">
        <f>177048.28+5543.31</f>
        <v>182591.59</v>
      </c>
      <c r="P24" s="95">
        <f>408983.56+6831.8</f>
        <v>415815.36</v>
      </c>
      <c r="Q24" s="557"/>
      <c r="R24" s="95"/>
      <c r="S24" s="403"/>
      <c r="T24" s="403"/>
      <c r="U24" s="557"/>
      <c r="V24" s="403"/>
      <c r="W24" s="557"/>
    </row>
    <row r="25" spans="1:23" ht="15" thickBot="1" x14ac:dyDescent="0.4">
      <c r="A25" s="372" t="s">
        <v>85</v>
      </c>
      <c r="B25" s="373">
        <f>SUM(B24)</f>
        <v>2550</v>
      </c>
      <c r="C25" s="373">
        <f>SUM(C24)</f>
        <v>2247.1370999999999</v>
      </c>
      <c r="D25" s="373">
        <f>SUM(D24)</f>
        <v>3225</v>
      </c>
      <c r="F25" s="373">
        <f>SUM(G25:V25)</f>
        <v>2247137.1</v>
      </c>
      <c r="G25" s="373">
        <f t="shared" ref="G25:V25" si="8">SUM(G24)</f>
        <v>0</v>
      </c>
      <c r="H25" s="373">
        <f t="shared" si="8"/>
        <v>0</v>
      </c>
      <c r="I25" s="373">
        <f t="shared" si="8"/>
        <v>388404.94</v>
      </c>
      <c r="J25" s="373">
        <f t="shared" si="8"/>
        <v>870333.05</v>
      </c>
      <c r="K25" s="373">
        <f t="shared" si="8"/>
        <v>255121.86000000002</v>
      </c>
      <c r="L25" s="373">
        <f t="shared" si="8"/>
        <v>0</v>
      </c>
      <c r="M25" s="373">
        <f t="shared" si="8"/>
        <v>39283.79</v>
      </c>
      <c r="N25" s="373">
        <f t="shared" si="8"/>
        <v>95586.51</v>
      </c>
      <c r="O25" s="373">
        <f t="shared" si="8"/>
        <v>182591.59</v>
      </c>
      <c r="P25" s="373">
        <f t="shared" si="8"/>
        <v>415815.36</v>
      </c>
      <c r="Q25" s="373">
        <f t="shared" si="8"/>
        <v>0</v>
      </c>
      <c r="R25" s="373">
        <f t="shared" si="8"/>
        <v>0</v>
      </c>
      <c r="S25" s="373">
        <f t="shared" si="8"/>
        <v>0</v>
      </c>
      <c r="T25" s="373">
        <f t="shared" si="8"/>
        <v>0</v>
      </c>
      <c r="U25" s="373">
        <f t="shared" si="8"/>
        <v>0</v>
      </c>
      <c r="V25" s="560">
        <f t="shared" si="8"/>
        <v>0</v>
      </c>
      <c r="W25" s="373">
        <f>B25*1000-F25</f>
        <v>302862.89999999991</v>
      </c>
    </row>
    <row r="26" spans="1:23" ht="15" thickBot="1" x14ac:dyDescent="0.4">
      <c r="A26" s="401"/>
      <c r="B26" s="402"/>
      <c r="C26" s="402"/>
      <c r="D26" s="402"/>
      <c r="F26" s="557"/>
      <c r="G26" s="557"/>
      <c r="H26" s="95"/>
      <c r="I26" s="557"/>
      <c r="J26" s="95"/>
      <c r="K26" s="557"/>
      <c r="L26" s="95"/>
      <c r="M26" s="557"/>
      <c r="N26" s="95"/>
      <c r="O26" s="557"/>
      <c r="P26" s="95"/>
      <c r="Q26" s="557"/>
      <c r="R26" s="95"/>
      <c r="S26" s="403"/>
      <c r="T26" s="403"/>
      <c r="U26" s="557"/>
      <c r="V26" s="403"/>
      <c r="W26" s="557"/>
    </row>
    <row r="27" spans="1:23" ht="15" thickBot="1" x14ac:dyDescent="0.4">
      <c r="A27" s="374" t="s">
        <v>3</v>
      </c>
      <c r="B27" s="375"/>
      <c r="C27" s="375"/>
      <c r="D27" s="375"/>
      <c r="F27" s="557"/>
      <c r="G27" s="557"/>
      <c r="H27" s="95"/>
      <c r="I27" s="557"/>
      <c r="J27" s="95"/>
      <c r="K27" s="557"/>
      <c r="L27" s="95"/>
      <c r="M27" s="557"/>
      <c r="N27" s="95"/>
      <c r="O27" s="557"/>
      <c r="P27" s="95"/>
      <c r="Q27" s="557"/>
      <c r="R27" s="95"/>
      <c r="S27" s="403"/>
      <c r="T27" s="403"/>
      <c r="U27" s="557"/>
      <c r="V27" s="403"/>
      <c r="W27" s="557"/>
    </row>
    <row r="28" spans="1:23" ht="15" thickBot="1" x14ac:dyDescent="0.4">
      <c r="A28" s="376" t="s">
        <v>100</v>
      </c>
      <c r="B28" s="497"/>
      <c r="C28" s="497">
        <f>F28/1000</f>
        <v>5646.3239399999993</v>
      </c>
      <c r="D28" s="497"/>
      <c r="F28" s="557">
        <f t="shared" ref="F28:F31" si="9">SUM(G28:W28)</f>
        <v>5646323.9399999995</v>
      </c>
      <c r="G28" s="557"/>
      <c r="H28" s="95"/>
      <c r="I28" s="557"/>
      <c r="J28" s="95"/>
      <c r="K28" s="557">
        <v>596135.46</v>
      </c>
      <c r="L28" s="95"/>
      <c r="M28" s="557"/>
      <c r="N28" s="95"/>
      <c r="O28" s="557"/>
      <c r="P28" s="95"/>
      <c r="Q28" s="557">
        <v>2544244.13</v>
      </c>
      <c r="R28" s="95">
        <v>2505944.35</v>
      </c>
      <c r="S28" s="403"/>
      <c r="T28" s="403"/>
      <c r="U28" s="557"/>
      <c r="V28" s="403"/>
      <c r="W28" s="557"/>
    </row>
    <row r="29" spans="1:23" ht="15" thickBot="1" x14ac:dyDescent="0.4">
      <c r="A29" s="376" t="s">
        <v>101</v>
      </c>
      <c r="B29" s="497"/>
      <c r="C29" s="497">
        <f>F29/1000</f>
        <v>5847.29558</v>
      </c>
      <c r="D29" s="497"/>
      <c r="F29" s="557">
        <f t="shared" si="9"/>
        <v>5847295.5800000001</v>
      </c>
      <c r="G29" s="557"/>
      <c r="H29" s="95"/>
      <c r="I29" s="557"/>
      <c r="J29" s="95"/>
      <c r="K29" s="557">
        <v>570633.76</v>
      </c>
      <c r="L29" s="95"/>
      <c r="M29" s="557"/>
      <c r="N29" s="95"/>
      <c r="O29" s="557"/>
      <c r="P29" s="95"/>
      <c r="Q29" s="557">
        <v>3098918.81</v>
      </c>
      <c r="R29" s="95">
        <v>2177743.0099999998</v>
      </c>
      <c r="S29" s="403"/>
      <c r="T29" s="403"/>
      <c r="U29" s="557"/>
      <c r="V29" s="403"/>
      <c r="W29" s="557"/>
    </row>
    <row r="30" spans="1:23" ht="15" thickBot="1" x14ac:dyDescent="0.4">
      <c r="A30" s="376" t="s">
        <v>102</v>
      </c>
      <c r="B30" s="497"/>
      <c r="C30" s="497">
        <f>F30/1000</f>
        <v>736.63566999999989</v>
      </c>
      <c r="D30" s="497"/>
      <c r="F30" s="557">
        <f t="shared" si="9"/>
        <v>736635.66999999993</v>
      </c>
      <c r="G30" s="557"/>
      <c r="H30" s="95"/>
      <c r="I30" s="557"/>
      <c r="J30" s="95"/>
      <c r="K30" s="557">
        <v>32928.6</v>
      </c>
      <c r="L30" s="95"/>
      <c r="M30" s="557"/>
      <c r="N30" s="95"/>
      <c r="O30" s="557"/>
      <c r="P30" s="95"/>
      <c r="Q30" s="557">
        <v>344997.24</v>
      </c>
      <c r="R30" s="95">
        <v>358709.83</v>
      </c>
      <c r="S30" s="403"/>
      <c r="T30" s="403"/>
      <c r="U30" s="557"/>
      <c r="V30" s="403"/>
      <c r="W30" s="557"/>
    </row>
    <row r="31" spans="1:23" ht="15" thickBot="1" x14ac:dyDescent="0.4">
      <c r="A31" s="376" t="s">
        <v>174</v>
      </c>
      <c r="B31" s="497"/>
      <c r="C31" s="497">
        <f>F31/1000</f>
        <v>2.85202</v>
      </c>
      <c r="D31" s="497"/>
      <c r="F31" s="557">
        <f t="shared" si="9"/>
        <v>2852.02</v>
      </c>
      <c r="G31" s="557"/>
      <c r="H31" s="95"/>
      <c r="I31" s="557"/>
      <c r="J31" s="95"/>
      <c r="K31" s="557"/>
      <c r="L31" s="95"/>
      <c r="M31" s="557"/>
      <c r="N31" s="95"/>
      <c r="O31" s="557"/>
      <c r="P31" s="95"/>
      <c r="Q31" s="557">
        <v>2852.02</v>
      </c>
      <c r="R31" s="95"/>
      <c r="S31" s="403"/>
      <c r="T31" s="403"/>
      <c r="U31" s="557"/>
      <c r="V31" s="403"/>
      <c r="W31" s="557"/>
    </row>
    <row r="32" spans="1:23" ht="15" thickBot="1" x14ac:dyDescent="0.4">
      <c r="A32" s="377" t="s">
        <v>85</v>
      </c>
      <c r="B32" s="378">
        <v>14000</v>
      </c>
      <c r="C32" s="378">
        <f>SUM(C28:C31)</f>
        <v>12233.10721</v>
      </c>
      <c r="D32" s="378">
        <v>14000</v>
      </c>
      <c r="F32" s="378">
        <f>SUM(G32:V32)</f>
        <v>12233107.209999999</v>
      </c>
      <c r="G32" s="378">
        <f t="shared" ref="G32:S32" si="10">SUM(G26:G31)</f>
        <v>0</v>
      </c>
      <c r="H32" s="378">
        <f t="shared" si="10"/>
        <v>0</v>
      </c>
      <c r="I32" s="378">
        <f t="shared" si="10"/>
        <v>0</v>
      </c>
      <c r="J32" s="378">
        <f t="shared" si="10"/>
        <v>0</v>
      </c>
      <c r="K32" s="378">
        <f t="shared" si="10"/>
        <v>1199697.82</v>
      </c>
      <c r="L32" s="378">
        <f t="shared" si="10"/>
        <v>0</v>
      </c>
      <c r="M32" s="378">
        <f t="shared" si="10"/>
        <v>0</v>
      </c>
      <c r="N32" s="378">
        <f t="shared" si="10"/>
        <v>0</v>
      </c>
      <c r="O32" s="378">
        <f t="shared" si="10"/>
        <v>0</v>
      </c>
      <c r="P32" s="378">
        <f t="shared" si="10"/>
        <v>0</v>
      </c>
      <c r="Q32" s="378">
        <f t="shared" si="10"/>
        <v>5991012.1999999993</v>
      </c>
      <c r="R32" s="378">
        <f>SUM(R26:R31)</f>
        <v>5042397.1899999995</v>
      </c>
      <c r="S32" s="378">
        <f t="shared" si="10"/>
        <v>0</v>
      </c>
      <c r="T32" s="378">
        <f>SUM(T26:T31)</f>
        <v>0</v>
      </c>
      <c r="U32" s="378">
        <f t="shared" ref="U32:V32" si="11">SUM(U26:U31)</f>
        <v>0</v>
      </c>
      <c r="V32" s="561">
        <f t="shared" si="11"/>
        <v>0</v>
      </c>
      <c r="W32" s="378">
        <f>B32*1000-F32</f>
        <v>1766892.790000001</v>
      </c>
    </row>
    <row r="33" spans="1:23" ht="15" thickBot="1" x14ac:dyDescent="0.4">
      <c r="A33" s="401"/>
      <c r="B33" s="402"/>
      <c r="C33" s="402"/>
      <c r="D33" s="402"/>
      <c r="F33" s="557"/>
      <c r="G33" s="557"/>
      <c r="H33" s="95"/>
      <c r="I33" s="557"/>
      <c r="J33" s="95"/>
      <c r="K33" s="557"/>
      <c r="L33" s="95"/>
      <c r="M33" s="557"/>
      <c r="N33" s="95"/>
      <c r="O33" s="557"/>
      <c r="P33" s="95"/>
      <c r="Q33" s="557"/>
      <c r="R33" s="95"/>
      <c r="S33" s="403"/>
      <c r="T33" s="403"/>
      <c r="U33" s="557"/>
      <c r="V33" s="403"/>
      <c r="W33" s="557"/>
    </row>
    <row r="34" spans="1:23" ht="15" thickBot="1" x14ac:dyDescent="0.4">
      <c r="A34" s="379" t="s">
        <v>5</v>
      </c>
      <c r="B34" s="380"/>
      <c r="C34" s="380"/>
      <c r="D34" s="380"/>
      <c r="F34" s="557"/>
      <c r="G34" s="557"/>
      <c r="H34" s="95"/>
      <c r="I34" s="557"/>
      <c r="J34" s="95"/>
      <c r="K34" s="557"/>
      <c r="L34" s="95"/>
      <c r="M34" s="557"/>
      <c r="N34" s="95"/>
      <c r="O34" s="557"/>
      <c r="P34" s="95"/>
      <c r="Q34" s="557"/>
      <c r="R34" s="95"/>
      <c r="S34" s="403"/>
      <c r="T34" s="403"/>
      <c r="U34" s="557"/>
      <c r="V34" s="403"/>
      <c r="W34" s="557"/>
    </row>
    <row r="35" spans="1:23" ht="15" thickBot="1" x14ac:dyDescent="0.4">
      <c r="A35" s="381" t="s">
        <v>103</v>
      </c>
      <c r="B35" s="382">
        <v>1875</v>
      </c>
      <c r="C35" s="382">
        <v>2441</v>
      </c>
      <c r="D35" s="382">
        <f>B35+25</f>
        <v>1900</v>
      </c>
      <c r="E35" s="346" t="s">
        <v>209</v>
      </c>
      <c r="F35" s="557">
        <f t="shared" ref="F35" si="12">SUM(G35:W35)</f>
        <v>2499769.7599999998</v>
      </c>
      <c r="G35" s="557">
        <f>28888.05+12076.49+38686.36+9110.14+1683.83+130+0.4+43996.69</f>
        <v>134571.96</v>
      </c>
      <c r="H35" s="95">
        <f>8877.57+86677.52+3930.14+1683.83-0.58+48327.93</f>
        <v>149496.41</v>
      </c>
      <c r="I35" s="557">
        <f>252207.9+153.53+548.3+2193.2+335175.03+1.14</f>
        <v>590279.1</v>
      </c>
      <c r="J35" s="95">
        <f>505253.91+153.52+548.3+2193.2+722260.96-0.23</f>
        <v>1230409.6599999999</v>
      </c>
      <c r="K35" s="557">
        <f>9979.06+1732.63+157189.87+0.03</f>
        <v>168901.59</v>
      </c>
      <c r="L35" s="95"/>
      <c r="M35" s="557">
        <f>16318.78+26108.4-0.66</f>
        <v>42426.52</v>
      </c>
      <c r="N35" s="95">
        <f>16318.76+26108.39</f>
        <v>42427.15</v>
      </c>
      <c r="O35" s="557">
        <f>16318.78+34702.76+0.36</f>
        <v>51021.9</v>
      </c>
      <c r="P35" s="95">
        <f>16318.79+70391.69</f>
        <v>86710.48000000001</v>
      </c>
      <c r="Q35" s="557"/>
      <c r="R35" s="95"/>
      <c r="S35" s="403"/>
      <c r="T35" s="403"/>
      <c r="U35" s="557"/>
      <c r="V35" s="403">
        <f>3525-0.01</f>
        <v>3524.99</v>
      </c>
      <c r="W35" s="557"/>
    </row>
    <row r="36" spans="1:23" ht="15" thickBot="1" x14ac:dyDescent="0.4">
      <c r="A36" s="383" t="s">
        <v>85</v>
      </c>
      <c r="B36" s="384">
        <f>SUM(B35)</f>
        <v>1875</v>
      </c>
      <c r="C36" s="384">
        <f>SUM(C35)</f>
        <v>2441</v>
      </c>
      <c r="D36" s="384">
        <f>SUM(D35)</f>
        <v>1900</v>
      </c>
      <c r="F36" s="384">
        <f>SUM(G36:V36)</f>
        <v>2499769.7599999998</v>
      </c>
      <c r="G36" s="384">
        <f t="shared" ref="G36:V36" si="13">SUM(G35)</f>
        <v>134571.96</v>
      </c>
      <c r="H36" s="384">
        <f t="shared" si="13"/>
        <v>149496.41</v>
      </c>
      <c r="I36" s="384">
        <f t="shared" si="13"/>
        <v>590279.1</v>
      </c>
      <c r="J36" s="384">
        <f t="shared" si="13"/>
        <v>1230409.6599999999</v>
      </c>
      <c r="K36" s="384">
        <f t="shared" si="13"/>
        <v>168901.59</v>
      </c>
      <c r="L36" s="384">
        <f t="shared" si="13"/>
        <v>0</v>
      </c>
      <c r="M36" s="384">
        <f t="shared" si="13"/>
        <v>42426.52</v>
      </c>
      <c r="N36" s="384">
        <f t="shared" si="13"/>
        <v>42427.15</v>
      </c>
      <c r="O36" s="384">
        <f t="shared" si="13"/>
        <v>51021.9</v>
      </c>
      <c r="P36" s="384">
        <f t="shared" si="13"/>
        <v>86710.48000000001</v>
      </c>
      <c r="Q36" s="384">
        <f t="shared" si="13"/>
        <v>0</v>
      </c>
      <c r="R36" s="384">
        <f t="shared" si="13"/>
        <v>0</v>
      </c>
      <c r="S36" s="384">
        <f t="shared" si="13"/>
        <v>0</v>
      </c>
      <c r="T36" s="384">
        <f t="shared" si="13"/>
        <v>0</v>
      </c>
      <c r="U36" s="384">
        <f t="shared" si="13"/>
        <v>0</v>
      </c>
      <c r="V36" s="562">
        <f t="shared" si="13"/>
        <v>3524.99</v>
      </c>
      <c r="W36" s="384">
        <f>B36*1000-F36</f>
        <v>-624769.75999999978</v>
      </c>
    </row>
    <row r="37" spans="1:23" ht="15" thickBot="1" x14ac:dyDescent="0.4">
      <c r="A37" s="401"/>
      <c r="B37" s="402"/>
      <c r="C37" s="402"/>
      <c r="D37" s="402"/>
      <c r="F37" s="557"/>
      <c r="G37" s="557"/>
      <c r="H37" s="95"/>
      <c r="I37" s="557"/>
      <c r="J37" s="95"/>
      <c r="K37" s="557"/>
      <c r="L37" s="95"/>
      <c r="M37" s="557"/>
      <c r="N37" s="95"/>
      <c r="O37" s="557"/>
      <c r="P37" s="95"/>
      <c r="Q37" s="557"/>
      <c r="R37" s="95"/>
      <c r="S37" s="403"/>
      <c r="T37" s="403"/>
      <c r="U37" s="557"/>
      <c r="V37" s="403"/>
      <c r="W37" s="557"/>
    </row>
    <row r="38" spans="1:23" ht="15" thickBot="1" x14ac:dyDescent="0.4">
      <c r="A38" s="385" t="s">
        <v>13</v>
      </c>
      <c r="B38" s="386"/>
      <c r="C38" s="386"/>
      <c r="D38" s="386"/>
      <c r="F38" s="557"/>
      <c r="G38" s="557"/>
      <c r="H38" s="95"/>
      <c r="I38" s="557"/>
      <c r="J38" s="95"/>
      <c r="K38" s="557"/>
      <c r="L38" s="95"/>
      <c r="M38" s="557"/>
      <c r="N38" s="95"/>
      <c r="O38" s="557"/>
      <c r="P38" s="95"/>
      <c r="Q38" s="557"/>
      <c r="R38" s="95"/>
      <c r="S38" s="403"/>
      <c r="T38" s="403"/>
      <c r="U38" s="557"/>
      <c r="V38" s="403"/>
      <c r="W38" s="557"/>
    </row>
    <row r="39" spans="1:23" ht="15" thickBot="1" x14ac:dyDescent="0.4">
      <c r="A39" s="387" t="s">
        <v>13</v>
      </c>
      <c r="B39" s="388">
        <v>200</v>
      </c>
      <c r="C39" s="388">
        <f>F39/1000</f>
        <v>98.876999999999995</v>
      </c>
      <c r="D39" s="388">
        <v>200</v>
      </c>
      <c r="F39" s="557">
        <f t="shared" ref="F39" si="14">SUM(G39:W39)</f>
        <v>98877</v>
      </c>
      <c r="G39" s="557">
        <f>85915+928805+994231-928805-994231</f>
        <v>85915</v>
      </c>
      <c r="H39" s="95">
        <v>12962</v>
      </c>
      <c r="I39" s="557"/>
      <c r="J39" s="95"/>
      <c r="K39" s="557"/>
      <c r="L39" s="95"/>
      <c r="M39" s="557"/>
      <c r="N39" s="95"/>
      <c r="O39" s="557"/>
      <c r="P39" s="95"/>
      <c r="Q39" s="557"/>
      <c r="R39" s="95"/>
      <c r="S39" s="403"/>
      <c r="T39" s="403"/>
      <c r="U39" s="557"/>
      <c r="V39" s="403"/>
      <c r="W39" s="557"/>
    </row>
    <row r="40" spans="1:23" ht="15" thickBot="1" x14ac:dyDescent="0.4">
      <c r="A40" s="389" t="s">
        <v>85</v>
      </c>
      <c r="B40" s="390">
        <f>SUM(B39)</f>
        <v>200</v>
      </c>
      <c r="C40" s="390">
        <f>SUM(C39)</f>
        <v>98.876999999999995</v>
      </c>
      <c r="D40" s="390">
        <f>SUM(D39)</f>
        <v>200</v>
      </c>
      <c r="F40" s="563">
        <f>SUM(G40:V40)</f>
        <v>98877</v>
      </c>
      <c r="G40" s="563">
        <f t="shared" ref="G40:V40" si="15">SUM(G39)</f>
        <v>85915</v>
      </c>
      <c r="H40" s="563">
        <f t="shared" si="15"/>
        <v>12962</v>
      </c>
      <c r="I40" s="563">
        <f t="shared" si="15"/>
        <v>0</v>
      </c>
      <c r="J40" s="563">
        <f t="shared" si="15"/>
        <v>0</v>
      </c>
      <c r="K40" s="563">
        <f t="shared" si="15"/>
        <v>0</v>
      </c>
      <c r="L40" s="563">
        <f t="shared" si="15"/>
        <v>0</v>
      </c>
      <c r="M40" s="563">
        <f t="shared" si="15"/>
        <v>0</v>
      </c>
      <c r="N40" s="563">
        <f t="shared" si="15"/>
        <v>0</v>
      </c>
      <c r="O40" s="563">
        <f t="shared" si="15"/>
        <v>0</v>
      </c>
      <c r="P40" s="563">
        <f t="shared" si="15"/>
        <v>0</v>
      </c>
      <c r="Q40" s="563">
        <f t="shared" si="15"/>
        <v>0</v>
      </c>
      <c r="R40" s="563">
        <f t="shared" si="15"/>
        <v>0</v>
      </c>
      <c r="S40" s="563">
        <f t="shared" si="15"/>
        <v>0</v>
      </c>
      <c r="T40" s="563">
        <f t="shared" si="15"/>
        <v>0</v>
      </c>
      <c r="U40" s="563">
        <f t="shared" si="15"/>
        <v>0</v>
      </c>
      <c r="V40" s="564">
        <f t="shared" si="15"/>
        <v>0</v>
      </c>
      <c r="W40" s="563">
        <f>B40*1000-F40</f>
        <v>101123</v>
      </c>
    </row>
    <row r="41" spans="1:23" ht="15" thickBot="1" x14ac:dyDescent="0.4">
      <c r="A41" s="401"/>
      <c r="B41" s="402"/>
      <c r="C41" s="402"/>
      <c r="D41" s="402"/>
      <c r="F41" s="557"/>
      <c r="G41" s="557"/>
      <c r="H41" s="95"/>
      <c r="I41" s="557"/>
      <c r="J41" s="95"/>
      <c r="K41" s="557"/>
      <c r="L41" s="95"/>
      <c r="M41" s="557"/>
      <c r="N41" s="95"/>
      <c r="O41" s="557"/>
      <c r="P41" s="95"/>
      <c r="Q41" s="557"/>
      <c r="R41" s="95"/>
      <c r="S41" s="403"/>
      <c r="T41" s="403"/>
      <c r="U41" s="557"/>
      <c r="V41" s="403"/>
      <c r="W41" s="557"/>
    </row>
    <row r="42" spans="1:23" ht="15" thickBot="1" x14ac:dyDescent="0.4">
      <c r="A42" s="442" t="s">
        <v>136</v>
      </c>
      <c r="B42" s="443"/>
      <c r="C42" s="443"/>
      <c r="D42" s="443"/>
      <c r="F42" s="557"/>
      <c r="G42" s="557"/>
      <c r="H42" s="95"/>
      <c r="I42" s="557"/>
      <c r="J42" s="95"/>
      <c r="K42" s="557"/>
      <c r="L42" s="95"/>
      <c r="M42" s="557"/>
      <c r="N42" s="95"/>
      <c r="O42" s="557"/>
      <c r="P42" s="95"/>
      <c r="Q42" s="557"/>
      <c r="R42" s="95"/>
      <c r="S42" s="403"/>
      <c r="T42" s="403"/>
      <c r="U42" s="557"/>
      <c r="V42" s="403"/>
      <c r="W42" s="557"/>
    </row>
    <row r="43" spans="1:23" ht="15" thickBot="1" x14ac:dyDescent="0.4">
      <c r="A43" s="444" t="s">
        <v>137</v>
      </c>
      <c r="B43" s="445">
        <f>(-68.35)/1000</f>
        <v>-6.8349999999999994E-2</v>
      </c>
      <c r="C43" s="445">
        <v>-7417</v>
      </c>
      <c r="D43" s="445"/>
      <c r="F43" s="557">
        <f t="shared" ref="F43" si="16">SUM(G43:W43)</f>
        <v>-7462575.2599999998</v>
      </c>
      <c r="G43" s="557">
        <f>-69350+726-893508.05</f>
        <v>-962132.05</v>
      </c>
      <c r="H43" s="95">
        <f>-40188.01</f>
        <v>-40188.01</v>
      </c>
      <c r="I43" s="557"/>
      <c r="J43" s="95"/>
      <c r="K43" s="557"/>
      <c r="L43" s="95"/>
      <c r="M43" s="557"/>
      <c r="N43" s="95"/>
      <c r="O43" s="557"/>
      <c r="P43" s="95"/>
      <c r="Q43" s="557">
        <f>-249424.94+258247.09-19.33-3229429.01</f>
        <v>-3220626.19</v>
      </c>
      <c r="R43" s="95">
        <v>-3229429.01</v>
      </c>
      <c r="S43" s="403">
        <v>-10200</v>
      </c>
      <c r="T43" s="403"/>
      <c r="U43" s="557"/>
      <c r="V43" s="403"/>
      <c r="W43" s="557"/>
    </row>
    <row r="44" spans="1:23" ht="15" thickBot="1" x14ac:dyDescent="0.4">
      <c r="A44" s="446" t="s">
        <v>85</v>
      </c>
      <c r="B44" s="447">
        <v>-8500</v>
      </c>
      <c r="C44" s="447">
        <f>SUM(C43)</f>
        <v>-7417</v>
      </c>
      <c r="D44" s="447">
        <v>-8000</v>
      </c>
      <c r="F44" s="565">
        <f>SUM(G44:V44)</f>
        <v>-7462575.2599999998</v>
      </c>
      <c r="G44" s="565">
        <f t="shared" ref="G44:H44" si="17">SUM(G43)</f>
        <v>-962132.05</v>
      </c>
      <c r="H44" s="565">
        <f t="shared" si="17"/>
        <v>-40188.01</v>
      </c>
      <c r="I44" s="565">
        <f t="shared" ref="I44:V44" si="18">SUM(I43)</f>
        <v>0</v>
      </c>
      <c r="J44" s="565">
        <f t="shared" si="18"/>
        <v>0</v>
      </c>
      <c r="K44" s="565">
        <f t="shared" si="18"/>
        <v>0</v>
      </c>
      <c r="L44" s="565">
        <f t="shared" si="18"/>
        <v>0</v>
      </c>
      <c r="M44" s="565">
        <f t="shared" si="18"/>
        <v>0</v>
      </c>
      <c r="N44" s="565">
        <f t="shared" si="18"/>
        <v>0</v>
      </c>
      <c r="O44" s="565">
        <f t="shared" si="18"/>
        <v>0</v>
      </c>
      <c r="P44" s="565">
        <f t="shared" si="18"/>
        <v>0</v>
      </c>
      <c r="Q44" s="565">
        <f t="shared" si="18"/>
        <v>-3220626.19</v>
      </c>
      <c r="R44" s="565">
        <f t="shared" si="18"/>
        <v>-3229429.01</v>
      </c>
      <c r="S44" s="565">
        <f t="shared" si="18"/>
        <v>-10200</v>
      </c>
      <c r="T44" s="565">
        <f t="shared" si="18"/>
        <v>0</v>
      </c>
      <c r="U44" s="565">
        <f t="shared" si="18"/>
        <v>0</v>
      </c>
      <c r="V44" s="566">
        <f t="shared" si="18"/>
        <v>0</v>
      </c>
      <c r="W44" s="565">
        <f>B44*1000+F44</f>
        <v>-15962575.26</v>
      </c>
    </row>
    <row r="45" spans="1:23" ht="15" thickBot="1" x14ac:dyDescent="0.4">
      <c r="A45" s="401"/>
      <c r="B45" s="402"/>
      <c r="C45" s="402"/>
      <c r="D45" s="402"/>
      <c r="F45" s="557"/>
      <c r="G45" s="557"/>
      <c r="H45" s="95"/>
      <c r="I45" s="557"/>
      <c r="J45" s="95"/>
      <c r="K45" s="557"/>
      <c r="L45" s="95"/>
      <c r="M45" s="557"/>
      <c r="N45" s="95"/>
      <c r="O45" s="557"/>
      <c r="P45" s="95"/>
      <c r="Q45" s="557"/>
      <c r="R45" s="95"/>
      <c r="S45" s="403"/>
      <c r="T45" s="403"/>
      <c r="U45" s="557"/>
      <c r="V45" s="403"/>
      <c r="W45" s="557"/>
    </row>
    <row r="46" spans="1:23" ht="19" thickBot="1" x14ac:dyDescent="0.5">
      <c r="A46" s="391" t="s">
        <v>10</v>
      </c>
      <c r="B46" s="392">
        <f>B13+B17+B21+B25+B32+B36+B40+B44</f>
        <v>16156.3513442</v>
      </c>
      <c r="C46" s="392">
        <f>SUM(C5:C44)/2</f>
        <v>14924.653409999999</v>
      </c>
      <c r="D46" s="392">
        <f>D13+D17+D21+D25+D32+D36+D40+D44</f>
        <v>18150.310000000001</v>
      </c>
      <c r="F46" s="567">
        <f>SUM(G46:V46)</f>
        <v>14938027.909999996</v>
      </c>
      <c r="G46" s="567">
        <f t="shared" ref="G46:T46" si="19">SUM(G5:G44)/2</f>
        <v>680608.50999999966</v>
      </c>
      <c r="H46" s="567">
        <f t="shared" si="19"/>
        <v>3156898.9200000004</v>
      </c>
      <c r="I46" s="567">
        <f t="shared" si="19"/>
        <v>1180733.92</v>
      </c>
      <c r="J46" s="567">
        <f t="shared" si="19"/>
        <v>2540254.89</v>
      </c>
      <c r="K46" s="567">
        <f t="shared" si="19"/>
        <v>1728190.52</v>
      </c>
      <c r="L46" s="567">
        <f t="shared" si="19"/>
        <v>0</v>
      </c>
      <c r="M46" s="567">
        <f t="shared" si="19"/>
        <v>98333.689999999988</v>
      </c>
      <c r="N46" s="567">
        <f t="shared" si="19"/>
        <v>154384.18000000002</v>
      </c>
      <c r="O46" s="567">
        <f t="shared" si="19"/>
        <v>258773.87000000002</v>
      </c>
      <c r="P46" s="567">
        <f t="shared" si="19"/>
        <v>530857.17999999993</v>
      </c>
      <c r="Q46" s="567">
        <f t="shared" si="19"/>
        <v>2770386.01</v>
      </c>
      <c r="R46" s="567">
        <f t="shared" si="19"/>
        <v>1812968.1799999997</v>
      </c>
      <c r="S46" s="567">
        <f t="shared" si="19"/>
        <v>9958.5999999999985</v>
      </c>
      <c r="T46" s="567">
        <f t="shared" si="19"/>
        <v>0</v>
      </c>
      <c r="U46" s="567">
        <f t="shared" ref="U46:V46" si="20">SUM(U5:U44)/2</f>
        <v>0</v>
      </c>
      <c r="V46" s="568">
        <f t="shared" si="20"/>
        <v>15679.439999999999</v>
      </c>
      <c r="W46" s="567">
        <f>B46*1000-F46</f>
        <v>1218323.4342000037</v>
      </c>
    </row>
    <row r="47" spans="1:23" s="395" customFormat="1" ht="30.65" customHeight="1" thickBot="1" x14ac:dyDescent="0.4">
      <c r="A47" s="441"/>
      <c r="B47" s="441"/>
      <c r="C47" s="448"/>
      <c r="D47" s="448"/>
      <c r="G47" s="615">
        <f>SUM(G46:H46)</f>
        <v>3837507.43</v>
      </c>
      <c r="H47" s="616"/>
      <c r="I47" s="615">
        <f>SUM(I46:J46)</f>
        <v>3720988.81</v>
      </c>
      <c r="J47" s="616"/>
      <c r="K47" s="617">
        <f>SUM(K46:L46)</f>
        <v>1728190.52</v>
      </c>
      <c r="L47" s="618"/>
      <c r="M47" s="615">
        <f>SUM(M46:N46)</f>
        <v>252717.87</v>
      </c>
      <c r="N47" s="616"/>
      <c r="O47" s="615">
        <f>SUM(O46:P46)</f>
        <v>789631.04999999993</v>
      </c>
      <c r="P47" s="616"/>
      <c r="Q47" s="615">
        <f>SUM(Q46:R46)</f>
        <v>4583354.1899999995</v>
      </c>
      <c r="R47" s="616"/>
      <c r="S47" s="615">
        <f>SUM(S46:T46)</f>
        <v>9958.5999999999985</v>
      </c>
      <c r="T47" s="616"/>
      <c r="U47" s="615">
        <f>SUM(U46:V46)</f>
        <v>15679.439999999999</v>
      </c>
      <c r="V47" s="616"/>
    </row>
    <row r="48" spans="1:23" ht="15" thickBot="1" x14ac:dyDescent="0.4">
      <c r="A48" s="393" t="s">
        <v>104</v>
      </c>
      <c r="B48" s="394"/>
      <c r="C48" s="394"/>
      <c r="D48" s="394"/>
      <c r="F48" s="196" t="s">
        <v>210</v>
      </c>
      <c r="G48" s="569">
        <v>-8083498.2000000002</v>
      </c>
      <c r="H48" s="570">
        <v>-8078000</v>
      </c>
    </row>
    <row r="49" spans="1:23" ht="45.65" customHeight="1" x14ac:dyDescent="0.35">
      <c r="A49" s="619" t="s">
        <v>211</v>
      </c>
      <c r="B49" s="619"/>
      <c r="C49" s="619"/>
      <c r="D49" s="619"/>
      <c r="E49" s="619"/>
    </row>
    <row r="50" spans="1:23" s="395" customFormat="1" ht="34.9" customHeight="1" x14ac:dyDescent="0.35">
      <c r="A50" s="619" t="s">
        <v>212</v>
      </c>
      <c r="B50" s="619"/>
      <c r="C50" s="619"/>
      <c r="D50" s="619"/>
      <c r="E50" s="619"/>
      <c r="F50" s="571"/>
      <c r="G50" s="571"/>
      <c r="H50" s="571"/>
      <c r="I50" s="571"/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  <c r="W50" s="571"/>
    </row>
    <row r="51" spans="1:23" s="395" customFormat="1" ht="73.900000000000006" customHeight="1" x14ac:dyDescent="0.35">
      <c r="A51" s="619" t="s">
        <v>213</v>
      </c>
      <c r="B51" s="619"/>
      <c r="C51" s="619"/>
      <c r="D51" s="619"/>
      <c r="E51" s="619"/>
      <c r="F51" s="571"/>
      <c r="G51" s="571"/>
      <c r="H51" s="571"/>
      <c r="I51" s="571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  <c r="W51" s="571"/>
    </row>
    <row r="52" spans="1:23" x14ac:dyDescent="0.35">
      <c r="A52" s="619" t="s">
        <v>214</v>
      </c>
      <c r="B52" s="619"/>
      <c r="C52" s="619"/>
      <c r="D52" s="619"/>
      <c r="E52" s="619"/>
    </row>
  </sheetData>
  <mergeCells count="20">
    <mergeCell ref="A49:E49"/>
    <mergeCell ref="A50:E50"/>
    <mergeCell ref="A51:E51"/>
    <mergeCell ref="A52:E52"/>
    <mergeCell ref="G3:H3"/>
    <mergeCell ref="S3:T3"/>
    <mergeCell ref="U3:V3"/>
    <mergeCell ref="G47:H47"/>
    <mergeCell ref="I47:J47"/>
    <mergeCell ref="K47:L47"/>
    <mergeCell ref="M47:N47"/>
    <mergeCell ref="O47:P47"/>
    <mergeCell ref="Q47:R47"/>
    <mergeCell ref="S47:T47"/>
    <mergeCell ref="U47:V47"/>
    <mergeCell ref="I3:J3"/>
    <mergeCell ref="K3:L3"/>
    <mergeCell ref="M3:N3"/>
    <mergeCell ref="O3:P3"/>
    <mergeCell ref="Q3:R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5"/>
  <sheetViews>
    <sheetView workbookViewId="0">
      <selection activeCell="A25" sqref="A1:XFD1048576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24" style="346" customWidth="1"/>
    <col min="4" max="5" width="19.453125" style="346" customWidth="1"/>
    <col min="6" max="6" width="9.1796875" style="175"/>
    <col min="7" max="9" width="9.1796875" style="346"/>
    <col min="10" max="10" width="10.54296875" style="346" bestFit="1" customWidth="1"/>
    <col min="11" max="16384" width="9.1796875" style="346"/>
  </cols>
  <sheetData>
    <row r="1" spans="1:7" ht="24" thickBot="1" x14ac:dyDescent="0.6">
      <c r="A1" s="513" t="s">
        <v>161</v>
      </c>
      <c r="B1" s="514"/>
      <c r="C1" s="514"/>
      <c r="D1" s="515" t="s">
        <v>190</v>
      </c>
    </row>
    <row r="2" spans="1:7" ht="19" thickBot="1" x14ac:dyDescent="0.4">
      <c r="A2" s="410" t="s">
        <v>125</v>
      </c>
      <c r="B2" s="279" t="s">
        <v>134</v>
      </c>
      <c r="C2" s="279" t="s">
        <v>163</v>
      </c>
      <c r="D2" s="280" t="s">
        <v>164</v>
      </c>
      <c r="E2" s="280" t="s">
        <v>191</v>
      </c>
    </row>
    <row r="3" spans="1:7" ht="15" thickBot="1" x14ac:dyDescent="0.4">
      <c r="A3" s="281" t="s">
        <v>77</v>
      </c>
      <c r="B3" s="399"/>
      <c r="C3" s="399"/>
      <c r="D3" s="282"/>
      <c r="E3" s="282"/>
    </row>
    <row r="4" spans="1:7" x14ac:dyDescent="0.35">
      <c r="A4" s="283" t="s">
        <v>78</v>
      </c>
      <c r="B4" s="284">
        <v>3255</v>
      </c>
      <c r="C4" s="284"/>
      <c r="D4" s="285">
        <f>3521*1.05</f>
        <v>3697.05</v>
      </c>
      <c r="E4" s="285">
        <v>0</v>
      </c>
      <c r="G4" s="196"/>
    </row>
    <row r="5" spans="1:7" x14ac:dyDescent="0.35">
      <c r="A5" s="286" t="s">
        <v>79</v>
      </c>
      <c r="B5" s="287">
        <v>450</v>
      </c>
      <c r="C5" s="287"/>
      <c r="D5" s="516">
        <v>200</v>
      </c>
      <c r="E5" s="516">
        <v>250</v>
      </c>
      <c r="G5" s="196"/>
    </row>
    <row r="6" spans="1:7" x14ac:dyDescent="0.35">
      <c r="A6" s="286" t="s">
        <v>80</v>
      </c>
      <c r="B6" s="287">
        <v>1342</v>
      </c>
      <c r="C6" s="287"/>
      <c r="D6" s="516">
        <f>(D4+D5)*0.3642</f>
        <v>1419.3056100000001</v>
      </c>
      <c r="E6" s="516">
        <f>(E4+E5)*0.3642</f>
        <v>91.050000000000011</v>
      </c>
      <c r="F6" s="572"/>
      <c r="G6" s="196"/>
    </row>
    <row r="7" spans="1:7" x14ac:dyDescent="0.35">
      <c r="A7" s="286" t="s">
        <v>81</v>
      </c>
      <c r="B7" s="287">
        <v>0</v>
      </c>
      <c r="C7" s="287"/>
      <c r="D7" s="288">
        <v>0</v>
      </c>
      <c r="E7" s="288">
        <v>0</v>
      </c>
      <c r="G7" s="196"/>
    </row>
    <row r="8" spans="1:7" x14ac:dyDescent="0.35">
      <c r="A8" s="286" t="s">
        <v>98</v>
      </c>
      <c r="B8" s="287">
        <v>0</v>
      </c>
      <c r="C8" s="287"/>
      <c r="D8" s="288">
        <v>0</v>
      </c>
      <c r="E8" s="288">
        <v>0</v>
      </c>
      <c r="G8" s="196"/>
    </row>
    <row r="9" spans="1:7" x14ac:dyDescent="0.35">
      <c r="A9" s="286" t="s">
        <v>82</v>
      </c>
      <c r="B9" s="287">
        <v>150</v>
      </c>
      <c r="C9" s="287"/>
      <c r="D9" s="288">
        <v>170</v>
      </c>
      <c r="E9" s="288">
        <v>0</v>
      </c>
      <c r="G9" s="196"/>
    </row>
    <row r="10" spans="1:7" x14ac:dyDescent="0.35">
      <c r="A10" s="286" t="s">
        <v>83</v>
      </c>
      <c r="B10" s="287">
        <v>120</v>
      </c>
      <c r="C10" s="287"/>
      <c r="D10" s="288">
        <v>125</v>
      </c>
      <c r="E10" s="288">
        <v>0</v>
      </c>
      <c r="G10" s="196"/>
    </row>
    <row r="11" spans="1:7" x14ac:dyDescent="0.35">
      <c r="A11" s="286" t="s">
        <v>84</v>
      </c>
      <c r="B11" s="287">
        <v>3</v>
      </c>
      <c r="C11" s="287"/>
      <c r="D11" s="288">
        <v>3</v>
      </c>
      <c r="E11" s="288">
        <v>0</v>
      </c>
      <c r="G11" s="196"/>
    </row>
    <row r="12" spans="1:7" ht="15" thickBot="1" x14ac:dyDescent="0.4">
      <c r="A12" s="289"/>
      <c r="B12" s="290"/>
      <c r="C12" s="290"/>
      <c r="D12" s="291"/>
      <c r="E12" s="291"/>
      <c r="G12" s="196"/>
    </row>
    <row r="13" spans="1:7" ht="15" thickBot="1" x14ac:dyDescent="0.4">
      <c r="A13" s="292" t="s">
        <v>85</v>
      </c>
      <c r="B13" s="293">
        <f>SUM(B4:B12)</f>
        <v>5320</v>
      </c>
      <c r="C13" s="293">
        <v>5244</v>
      </c>
      <c r="D13" s="293">
        <f>SUM(D4:D12)</f>
        <v>5614.3556100000005</v>
      </c>
      <c r="E13" s="293">
        <f>SUM(E4:E12)</f>
        <v>341.05</v>
      </c>
      <c r="F13" s="572">
        <f>SUM(D13:E13)</f>
        <v>5955.4056100000007</v>
      </c>
      <c r="G13" s="61"/>
    </row>
    <row r="14" spans="1:7" ht="15" thickBot="1" x14ac:dyDescent="0.4">
      <c r="A14" s="294"/>
      <c r="B14" s="111"/>
      <c r="C14" s="111"/>
      <c r="D14" s="295"/>
      <c r="E14" s="295"/>
    </row>
    <row r="15" spans="1:7" ht="15" thickBot="1" x14ac:dyDescent="0.4">
      <c r="A15" s="296" t="s">
        <v>1</v>
      </c>
      <c r="B15" s="297"/>
      <c r="C15" s="297"/>
      <c r="D15" s="298"/>
      <c r="E15" s="298"/>
    </row>
    <row r="16" spans="1:7" x14ac:dyDescent="0.35">
      <c r="A16" s="299" t="s">
        <v>86</v>
      </c>
      <c r="B16" s="300">
        <v>10</v>
      </c>
      <c r="C16" s="300">
        <v>18</v>
      </c>
      <c r="D16" s="301">
        <v>10</v>
      </c>
      <c r="E16" s="301">
        <v>0</v>
      </c>
      <c r="G16" s="196"/>
    </row>
    <row r="17" spans="1:9" x14ac:dyDescent="0.35">
      <c r="A17" s="302" t="s">
        <v>87</v>
      </c>
      <c r="B17" s="303">
        <v>260</v>
      </c>
      <c r="C17" s="303">
        <v>232</v>
      </c>
      <c r="D17" s="304">
        <v>260</v>
      </c>
      <c r="E17" s="304">
        <v>0</v>
      </c>
      <c r="G17" s="196"/>
    </row>
    <row r="18" spans="1:9" x14ac:dyDescent="0.35">
      <c r="A18" s="302" t="s">
        <v>88</v>
      </c>
      <c r="B18" s="303">
        <v>450</v>
      </c>
      <c r="C18" s="303">
        <v>394</v>
      </c>
      <c r="D18" s="304">
        <v>450</v>
      </c>
      <c r="E18" s="304">
        <v>150</v>
      </c>
      <c r="G18" s="196"/>
    </row>
    <row r="19" spans="1:9" x14ac:dyDescent="0.35">
      <c r="A19" s="305" t="s">
        <v>89</v>
      </c>
      <c r="B19" s="306">
        <v>1030</v>
      </c>
      <c r="C19" s="306">
        <v>1088</v>
      </c>
      <c r="D19" s="517">
        <f>1030+266</f>
        <v>1296</v>
      </c>
      <c r="E19" s="517">
        <v>379</v>
      </c>
      <c r="G19" s="196"/>
    </row>
    <row r="20" spans="1:9" ht="15" thickBot="1" x14ac:dyDescent="0.4">
      <c r="A20" s="305"/>
      <c r="B20" s="308"/>
      <c r="C20" s="308"/>
      <c r="D20" s="307"/>
      <c r="E20" s="307"/>
      <c r="G20" s="196"/>
    </row>
    <row r="21" spans="1:9" ht="15" thickBot="1" x14ac:dyDescent="0.4">
      <c r="A21" s="309" t="s">
        <v>85</v>
      </c>
      <c r="B21" s="310">
        <f>SUM(B16:B20)</f>
        <v>1750</v>
      </c>
      <c r="C21" s="310">
        <f t="shared" ref="C21:E21" si="0">SUM(C16:C20)</f>
        <v>1732</v>
      </c>
      <c r="D21" s="310">
        <f t="shared" si="0"/>
        <v>2016</v>
      </c>
      <c r="E21" s="310">
        <f t="shared" si="0"/>
        <v>529</v>
      </c>
      <c r="F21" s="572">
        <f>SUM(D21:E21)</f>
        <v>2545</v>
      </c>
      <c r="G21" s="61"/>
    </row>
    <row r="22" spans="1:9" ht="15" thickBot="1" x14ac:dyDescent="0.4">
      <c r="A22" s="294"/>
      <c r="B22" s="111"/>
      <c r="C22" s="111"/>
      <c r="D22" s="311"/>
      <c r="E22" s="311"/>
    </row>
    <row r="23" spans="1:9" ht="15" thickBot="1" x14ac:dyDescent="0.4">
      <c r="A23" s="312" t="s">
        <v>2</v>
      </c>
      <c r="B23" s="313"/>
      <c r="C23" s="313"/>
      <c r="D23" s="314"/>
      <c r="E23" s="314"/>
      <c r="G23" s="196"/>
    </row>
    <row r="24" spans="1:9" ht="15" thickBot="1" x14ac:dyDescent="0.4">
      <c r="A24" s="315" t="s">
        <v>90</v>
      </c>
      <c r="B24" s="316">
        <v>5</v>
      </c>
      <c r="C24" s="316">
        <v>0</v>
      </c>
      <c r="D24" s="317">
        <v>5</v>
      </c>
      <c r="E24" s="317">
        <v>0</v>
      </c>
      <c r="G24" s="196"/>
    </row>
    <row r="25" spans="1:9" ht="15" thickBot="1" x14ac:dyDescent="0.4">
      <c r="A25" s="318" t="s">
        <v>85</v>
      </c>
      <c r="B25" s="319">
        <f>SUM(B24)</f>
        <v>5</v>
      </c>
      <c r="C25" s="319">
        <f t="shared" ref="C25:E25" si="1">SUM(C24)</f>
        <v>0</v>
      </c>
      <c r="D25" s="319">
        <f t="shared" si="1"/>
        <v>5</v>
      </c>
      <c r="E25" s="319">
        <f t="shared" si="1"/>
        <v>0</v>
      </c>
      <c r="F25" s="572">
        <f>SUM(D25:E25)</f>
        <v>5</v>
      </c>
      <c r="G25" s="61"/>
    </row>
    <row r="26" spans="1:9" x14ac:dyDescent="0.35">
      <c r="A26" s="294"/>
      <c r="B26" s="111"/>
      <c r="C26" s="111"/>
      <c r="D26" s="311"/>
      <c r="E26" s="311"/>
      <c r="G26" s="196"/>
    </row>
    <row r="27" spans="1:9" ht="15" thickBot="1" x14ac:dyDescent="0.4">
      <c r="A27" s="294"/>
      <c r="B27" s="111"/>
      <c r="C27" s="111"/>
      <c r="D27" s="311"/>
      <c r="E27" s="311"/>
      <c r="G27" s="196"/>
    </row>
    <row r="28" spans="1:9" ht="15" thickBot="1" x14ac:dyDescent="0.4">
      <c r="A28" s="320" t="s">
        <v>91</v>
      </c>
      <c r="B28" s="321"/>
      <c r="C28" s="321"/>
      <c r="D28" s="322"/>
      <c r="E28" s="322"/>
      <c r="G28" s="196"/>
    </row>
    <row r="29" spans="1:9" ht="41.25" customHeight="1" thickBot="1" x14ac:dyDescent="0.4">
      <c r="A29" s="323" t="s">
        <v>92</v>
      </c>
      <c r="B29" s="324">
        <v>2500</v>
      </c>
      <c r="C29" s="324">
        <v>1326</v>
      </c>
      <c r="D29" s="324">
        <v>2500</v>
      </c>
      <c r="E29" s="325">
        <v>150</v>
      </c>
      <c r="F29" s="573"/>
      <c r="G29" s="196"/>
      <c r="H29" s="54"/>
      <c r="I29" s="54"/>
    </row>
    <row r="30" spans="1:9" ht="15" thickBot="1" x14ac:dyDescent="0.4">
      <c r="A30" s="326" t="s">
        <v>85</v>
      </c>
      <c r="B30" s="327">
        <f>SUM(B29)</f>
        <v>2500</v>
      </c>
      <c r="C30" s="327">
        <f t="shared" ref="C30:E30" si="2">SUM(C29)</f>
        <v>1326</v>
      </c>
      <c r="D30" s="327">
        <f t="shared" si="2"/>
        <v>2500</v>
      </c>
      <c r="E30" s="327">
        <f t="shared" si="2"/>
        <v>150</v>
      </c>
      <c r="F30" s="572">
        <f>SUM(D30:E30)</f>
        <v>2650</v>
      </c>
      <c r="G30" s="61"/>
    </row>
    <row r="31" spans="1:9" ht="15" thickBot="1" x14ac:dyDescent="0.4">
      <c r="A31" s="294"/>
      <c r="B31" s="111"/>
      <c r="C31" s="111"/>
      <c r="D31" s="311"/>
      <c r="E31" s="311"/>
      <c r="G31" s="196"/>
    </row>
    <row r="32" spans="1:9" ht="15" thickBot="1" x14ac:dyDescent="0.4">
      <c r="A32" s="404" t="s">
        <v>3</v>
      </c>
      <c r="B32" s="405">
        <v>5000</v>
      </c>
      <c r="C32" s="405">
        <v>5368</v>
      </c>
      <c r="D32" s="405">
        <v>6000</v>
      </c>
      <c r="E32" s="405">
        <v>0</v>
      </c>
      <c r="G32" s="196"/>
    </row>
    <row r="33" spans="1:13" ht="15" thickBot="1" x14ac:dyDescent="0.4">
      <c r="A33" s="406" t="s">
        <v>85</v>
      </c>
      <c r="B33" s="407">
        <f>SUM(B32)</f>
        <v>5000</v>
      </c>
      <c r="C33" s="407">
        <f t="shared" ref="C33:E33" si="3">SUM(C32)</f>
        <v>5368</v>
      </c>
      <c r="D33" s="407">
        <f t="shared" si="3"/>
        <v>6000</v>
      </c>
      <c r="E33" s="407">
        <f t="shared" si="3"/>
        <v>0</v>
      </c>
      <c r="F33" s="572">
        <f>SUM(D33:E33)</f>
        <v>6000</v>
      </c>
      <c r="G33" s="61"/>
    </row>
    <row r="34" spans="1:13" ht="15" thickBot="1" x14ac:dyDescent="0.4">
      <c r="A34" s="294"/>
      <c r="B34" s="111"/>
      <c r="C34" s="111"/>
      <c r="D34" s="311"/>
      <c r="E34" s="311"/>
      <c r="G34" s="196"/>
      <c r="M34" s="328"/>
    </row>
    <row r="35" spans="1:13" ht="15" thickBot="1" x14ac:dyDescent="0.4">
      <c r="A35" s="329" t="s">
        <v>5</v>
      </c>
      <c r="B35" s="330"/>
      <c r="C35" s="330"/>
      <c r="D35" s="331"/>
      <c r="E35" s="331"/>
      <c r="G35" s="196"/>
    </row>
    <row r="36" spans="1:13" x14ac:dyDescent="0.35">
      <c r="A36" s="332" t="s">
        <v>93</v>
      </c>
      <c r="B36" s="333">
        <v>20</v>
      </c>
      <c r="C36" s="333"/>
      <c r="D36" s="334">
        <v>20</v>
      </c>
      <c r="E36" s="334">
        <v>0</v>
      </c>
      <c r="G36" s="196"/>
    </row>
    <row r="37" spans="1:13" x14ac:dyDescent="0.35">
      <c r="A37" s="121" t="s">
        <v>94</v>
      </c>
      <c r="B37" s="335">
        <v>1</v>
      </c>
      <c r="C37" s="335"/>
      <c r="D37" s="336">
        <v>1</v>
      </c>
      <c r="E37" s="336">
        <v>0</v>
      </c>
      <c r="G37" s="196"/>
    </row>
    <row r="38" spans="1:13" x14ac:dyDescent="0.35">
      <c r="A38" s="121" t="s">
        <v>95</v>
      </c>
      <c r="B38" s="335">
        <v>1</v>
      </c>
      <c r="C38" s="335"/>
      <c r="D38" s="336">
        <v>1</v>
      </c>
      <c r="E38" s="336">
        <v>0</v>
      </c>
      <c r="G38" s="196"/>
    </row>
    <row r="39" spans="1:13" x14ac:dyDescent="0.35">
      <c r="A39" s="121" t="s">
        <v>96</v>
      </c>
      <c r="B39" s="335">
        <v>125</v>
      </c>
      <c r="C39" s="335"/>
      <c r="D39" s="336">
        <v>125</v>
      </c>
      <c r="E39" s="336">
        <v>0</v>
      </c>
      <c r="G39" s="196"/>
    </row>
    <row r="40" spans="1:13" x14ac:dyDescent="0.35">
      <c r="A40" s="121" t="s">
        <v>97</v>
      </c>
      <c r="B40" s="335">
        <v>10</v>
      </c>
      <c r="C40" s="335"/>
      <c r="D40" s="336">
        <v>10</v>
      </c>
      <c r="E40" s="336">
        <v>0</v>
      </c>
      <c r="G40" s="196"/>
    </row>
    <row r="41" spans="1:13" x14ac:dyDescent="0.35">
      <c r="A41" s="121" t="s">
        <v>99</v>
      </c>
      <c r="B41" s="335">
        <v>700</v>
      </c>
      <c r="C41" s="335"/>
      <c r="D41" s="336">
        <v>700</v>
      </c>
      <c r="E41" s="336">
        <v>150</v>
      </c>
      <c r="G41" s="196"/>
    </row>
    <row r="42" spans="1:13" ht="15" thickBot="1" x14ac:dyDescent="0.4">
      <c r="A42" s="337" t="s">
        <v>85</v>
      </c>
      <c r="B42" s="338">
        <f>SUM(B36:B41)</f>
        <v>857</v>
      </c>
      <c r="C42" s="338">
        <v>458</v>
      </c>
      <c r="D42" s="338">
        <f t="shared" ref="D42:E42" si="4">SUM(D36:D41)</f>
        <v>857</v>
      </c>
      <c r="E42" s="338">
        <f t="shared" si="4"/>
        <v>150</v>
      </c>
      <c r="F42" s="572">
        <f>SUM(D42:E42)</f>
        <v>1007</v>
      </c>
      <c r="G42" s="61"/>
    </row>
    <row r="43" spans="1:13" ht="15" thickBot="1" x14ac:dyDescent="0.4">
      <c r="A43" s="339" t="s">
        <v>105</v>
      </c>
      <c r="B43" s="274">
        <v>300</v>
      </c>
      <c r="C43" s="408">
        <v>256</v>
      </c>
      <c r="D43" s="340">
        <v>300</v>
      </c>
      <c r="E43" s="340">
        <v>0</v>
      </c>
      <c r="F43" s="572">
        <f>SUM(D43:E43)</f>
        <v>300</v>
      </c>
      <c r="G43" s="61"/>
    </row>
    <row r="44" spans="1:13" ht="15" thickBot="1" x14ac:dyDescent="0.4">
      <c r="A44" s="339"/>
      <c r="B44" s="274"/>
      <c r="C44" s="408"/>
      <c r="D44" s="340"/>
      <c r="E44" s="340"/>
      <c r="G44" s="196"/>
    </row>
    <row r="45" spans="1:13" ht="15" thickBot="1" x14ac:dyDescent="0.4">
      <c r="A45" s="442" t="s">
        <v>136</v>
      </c>
      <c r="B45" s="443"/>
      <c r="C45" s="443"/>
      <c r="D45" s="443"/>
      <c r="E45" s="443"/>
      <c r="G45" s="196"/>
    </row>
    <row r="46" spans="1:13" ht="15" thickBot="1" x14ac:dyDescent="0.4">
      <c r="A46" s="444" t="s">
        <v>137</v>
      </c>
      <c r="B46" s="445">
        <v>-2500</v>
      </c>
      <c r="C46" s="445">
        <v>-3545</v>
      </c>
      <c r="D46" s="445">
        <v>-4000</v>
      </c>
      <c r="E46" s="445">
        <v>0</v>
      </c>
      <c r="G46" s="196"/>
    </row>
    <row r="47" spans="1:13" ht="15" thickBot="1" x14ac:dyDescent="0.4">
      <c r="A47" s="446" t="s">
        <v>85</v>
      </c>
      <c r="B47" s="447">
        <f>SUM(B46)</f>
        <v>-2500</v>
      </c>
      <c r="C47" s="447">
        <f t="shared" ref="C47:D47" si="5">SUM(C46)</f>
        <v>-3545</v>
      </c>
      <c r="D47" s="447">
        <f t="shared" si="5"/>
        <v>-4000</v>
      </c>
      <c r="E47" s="447">
        <v>0</v>
      </c>
      <c r="F47" s="572">
        <f>SUM(D47:E47)</f>
        <v>-4000</v>
      </c>
      <c r="G47" s="61"/>
    </row>
    <row r="48" spans="1:13" ht="15" thickBot="1" x14ac:dyDescent="0.4">
      <c r="A48" s="273"/>
      <c r="B48" s="275"/>
      <c r="C48" s="275"/>
      <c r="D48" s="276"/>
      <c r="E48" s="276"/>
      <c r="G48" s="196"/>
    </row>
    <row r="49" spans="1:10" ht="19" thickBot="1" x14ac:dyDescent="0.4">
      <c r="A49" s="277" t="s">
        <v>10</v>
      </c>
      <c r="B49" s="278">
        <f>B13+B21+B25+B30+B33+B42+B43+B47</f>
        <v>13232</v>
      </c>
      <c r="C49" s="278">
        <f t="shared" ref="C49" si="6">C13+C21+C25+C30+C33+C42+C43+C47</f>
        <v>10839</v>
      </c>
      <c r="D49" s="278">
        <f>D13+D21+D25+D30+D33+D42+D43+D47</f>
        <v>13292.355609999999</v>
      </c>
      <c r="E49" s="278">
        <f>E13+E21+E25+E30+E33+E42+E43+E47</f>
        <v>1170.05</v>
      </c>
      <c r="G49" s="61"/>
      <c r="J49" s="164"/>
    </row>
    <row r="50" spans="1:10" ht="19" thickBot="1" x14ac:dyDescent="0.4">
      <c r="A50" s="277" t="s">
        <v>192</v>
      </c>
      <c r="B50" s="278"/>
      <c r="C50" s="278"/>
      <c r="D50" s="620">
        <f>D49+E49</f>
        <v>14462.405609999998</v>
      </c>
      <c r="E50" s="621"/>
    </row>
    <row r="51" spans="1:10" x14ac:dyDescent="0.35">
      <c r="A51" s="197"/>
      <c r="B51" s="197"/>
      <c r="C51" s="197"/>
      <c r="D51" s="403"/>
    </row>
    <row r="52" spans="1:10" x14ac:dyDescent="0.35">
      <c r="A52" s="396"/>
      <c r="B52" s="396"/>
      <c r="C52" s="396"/>
      <c r="D52" s="396"/>
    </row>
    <row r="53" spans="1:10" x14ac:dyDescent="0.35">
      <c r="A53" s="396"/>
      <c r="B53" s="396"/>
      <c r="C53" s="396"/>
      <c r="D53" s="396"/>
    </row>
    <row r="54" spans="1:10" x14ac:dyDescent="0.35">
      <c r="A54" s="396"/>
      <c r="B54" s="396"/>
      <c r="D54" s="396"/>
    </row>
    <row r="55" spans="1:10" x14ac:dyDescent="0.35">
      <c r="A55" s="396"/>
      <c r="B55" s="396"/>
      <c r="C55" s="396"/>
      <c r="D55" s="396"/>
    </row>
  </sheetData>
  <mergeCells count="1">
    <mergeCell ref="D50:E50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60"/>
  <sheetViews>
    <sheetView workbookViewId="0">
      <selection activeCell="A2" sqref="A2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19.26953125" style="346" customWidth="1"/>
    <col min="4" max="4" width="19.453125" style="346" hidden="1" customWidth="1"/>
    <col min="5" max="5" width="24" style="346" hidden="1" customWidth="1"/>
    <col min="6" max="6" width="18.453125" style="346" customWidth="1"/>
    <col min="7" max="7" width="16" style="346" customWidth="1"/>
    <col min="8" max="8" width="12.81640625" style="346" bestFit="1" customWidth="1"/>
    <col min="9" max="9" width="9.7265625" style="346" bestFit="1" customWidth="1"/>
    <col min="10" max="16384" width="9.1796875" style="346"/>
  </cols>
  <sheetData>
    <row r="1" spans="1:13" ht="24" thickBot="1" x14ac:dyDescent="0.6">
      <c r="A1" s="207" t="s">
        <v>165</v>
      </c>
      <c r="B1" s="347"/>
      <c r="C1" s="347"/>
      <c r="D1" s="347"/>
      <c r="E1" s="347"/>
    </row>
    <row r="2" spans="1:13" s="481" customFormat="1" ht="44.25" customHeight="1" thickBot="1" x14ac:dyDescent="0.4">
      <c r="A2" s="591" t="s">
        <v>126</v>
      </c>
      <c r="B2" s="280" t="s">
        <v>134</v>
      </c>
      <c r="C2" s="480" t="s">
        <v>179</v>
      </c>
      <c r="D2" s="480" t="s">
        <v>163</v>
      </c>
      <c r="E2" s="279" t="s">
        <v>215</v>
      </c>
      <c r="F2" s="280" t="s">
        <v>164</v>
      </c>
      <c r="G2" s="280" t="s">
        <v>180</v>
      </c>
      <c r="H2" s="505" t="s">
        <v>181</v>
      </c>
      <c r="M2" s="481">
        <f>200+(2.5*12)</f>
        <v>230</v>
      </c>
    </row>
    <row r="3" spans="1:13" ht="15" thickBot="1" x14ac:dyDescent="0.4">
      <c r="A3" s="156" t="s">
        <v>77</v>
      </c>
      <c r="B3" s="204"/>
      <c r="C3" s="204"/>
      <c r="D3" s="204"/>
      <c r="E3" s="398"/>
      <c r="F3" s="204"/>
      <c r="G3" s="204"/>
      <c r="H3" s="4"/>
    </row>
    <row r="4" spans="1:13" x14ac:dyDescent="0.35">
      <c r="A4" s="225" t="s">
        <v>78</v>
      </c>
      <c r="B4" s="211">
        <v>10358</v>
      </c>
      <c r="C4" s="211">
        <v>9746</v>
      </c>
      <c r="D4" s="574">
        <f>[2]Sheet1!$F$690+[2]Sheet1!$F$697+[2]Sheet1!$F$727+[2]Sheet1!$F$746+[2]Sheet1!$F$791+[2]Sheet1!$F$816</f>
        <v>9745757</v>
      </c>
      <c r="E4" s="83"/>
      <c r="F4" s="211">
        <f>(10606-230)*1.05</f>
        <v>10894.800000000001</v>
      </c>
      <c r="G4" s="211">
        <v>230</v>
      </c>
      <c r="H4" s="506" t="s">
        <v>173</v>
      </c>
    </row>
    <row r="5" spans="1:13" x14ac:dyDescent="0.35">
      <c r="A5" s="226" t="s">
        <v>79</v>
      </c>
      <c r="B5" s="212">
        <v>1300</v>
      </c>
      <c r="C5" s="211">
        <v>1205</v>
      </c>
      <c r="D5" s="574">
        <f>[2]Sheet1!$F$832</f>
        <v>1205000</v>
      </c>
      <c r="E5" s="155"/>
      <c r="F5" s="212">
        <v>1370</v>
      </c>
      <c r="G5" s="212"/>
      <c r="H5" s="4"/>
    </row>
    <row r="6" spans="1:13" x14ac:dyDescent="0.35">
      <c r="A6" s="226" t="s">
        <v>80</v>
      </c>
      <c r="B6" s="212">
        <v>4222</v>
      </c>
      <c r="C6" s="211">
        <v>3948</v>
      </c>
      <c r="D6" s="574">
        <f>[2]Sheet1!$F$896+[2]Sheet1!$F$933+[2]Sheet1!$F$961+[2]Sheet1!$F$1023-29618</f>
        <v>3947713.3100000005</v>
      </c>
      <c r="E6" s="155"/>
      <c r="F6" s="212">
        <v>4338</v>
      </c>
      <c r="G6" s="212"/>
      <c r="H6" s="80"/>
    </row>
    <row r="7" spans="1:13" x14ac:dyDescent="0.35">
      <c r="A7" s="226" t="s">
        <v>81</v>
      </c>
      <c r="B7" s="212">
        <v>150</v>
      </c>
      <c r="C7" s="211">
        <v>86</v>
      </c>
      <c r="D7" s="574">
        <f>[2]Sheet1!$F$841</f>
        <v>86050</v>
      </c>
      <c r="E7" s="155"/>
      <c r="F7" s="212">
        <v>120</v>
      </c>
      <c r="G7" s="212"/>
      <c r="H7" s="507"/>
    </row>
    <row r="8" spans="1:13" x14ac:dyDescent="0.35">
      <c r="A8" s="226" t="s">
        <v>144</v>
      </c>
      <c r="B8" s="212">
        <v>52</v>
      </c>
      <c r="C8" s="211">
        <v>30</v>
      </c>
      <c r="D8" s="574">
        <v>29618</v>
      </c>
      <c r="E8" s="155"/>
      <c r="F8" s="212">
        <v>41</v>
      </c>
      <c r="G8" s="212"/>
      <c r="H8" s="4"/>
    </row>
    <row r="9" spans="1:13" x14ac:dyDescent="0.35">
      <c r="A9" s="226" t="s">
        <v>82</v>
      </c>
      <c r="B9" s="212">
        <v>370</v>
      </c>
      <c r="C9" s="211">
        <v>422</v>
      </c>
      <c r="D9" s="574">
        <f>[2]Sheet1!$F$859</f>
        <v>422290</v>
      </c>
      <c r="E9" s="155"/>
      <c r="F9" s="212">
        <v>435</v>
      </c>
      <c r="G9" s="212"/>
      <c r="H9" s="4"/>
      <c r="I9" s="508"/>
    </row>
    <row r="10" spans="1:13" x14ac:dyDescent="0.35">
      <c r="A10" s="226" t="s">
        <v>83</v>
      </c>
      <c r="B10" s="212">
        <v>656</v>
      </c>
      <c r="C10" s="211">
        <v>502</v>
      </c>
      <c r="D10" s="574">
        <f>[2]Sheet1!$F$974+[2]Sheet1!$F$1286</f>
        <v>501947</v>
      </c>
      <c r="E10" s="155"/>
      <c r="F10" s="212">
        <v>652</v>
      </c>
      <c r="G10" s="212"/>
      <c r="H10" s="4"/>
    </row>
    <row r="11" spans="1:13" x14ac:dyDescent="0.35">
      <c r="A11" s="226" t="s">
        <v>84</v>
      </c>
      <c r="B11" s="212">
        <v>6</v>
      </c>
      <c r="C11" s="211">
        <v>4</v>
      </c>
      <c r="D11" s="574">
        <f>[2]Sheet1!$F$986</f>
        <v>4237.6899999999996</v>
      </c>
      <c r="E11" s="155"/>
      <c r="F11" s="212">
        <v>6</v>
      </c>
      <c r="G11" s="212"/>
      <c r="H11" s="4"/>
    </row>
    <row r="12" spans="1:13" ht="15" thickBot="1" x14ac:dyDescent="0.4">
      <c r="A12" s="227"/>
      <c r="B12" s="214"/>
      <c r="C12" s="509"/>
      <c r="D12" s="575"/>
      <c r="E12" s="84"/>
      <c r="F12" s="214"/>
      <c r="G12" s="214"/>
      <c r="H12" s="4"/>
    </row>
    <row r="13" spans="1:13" ht="15" thickBot="1" x14ac:dyDescent="0.4">
      <c r="A13" s="159" t="s">
        <v>85</v>
      </c>
      <c r="B13" s="215">
        <f>SUM(B4:B11)</f>
        <v>17114</v>
      </c>
      <c r="C13" s="215">
        <f>SUM(C4:C11)</f>
        <v>15943</v>
      </c>
      <c r="D13" s="215">
        <f>SUM(D4:D11)</f>
        <v>15942613</v>
      </c>
      <c r="E13" s="215">
        <f t="shared" ref="E13:G13" si="0">SUM(E4:E11)</f>
        <v>0</v>
      </c>
      <c r="F13" s="215">
        <f t="shared" si="0"/>
        <v>17856.800000000003</v>
      </c>
      <c r="G13" s="215">
        <f t="shared" si="0"/>
        <v>230</v>
      </c>
      <c r="H13" s="80">
        <f>SUM(F13:G13)</f>
        <v>18086.800000000003</v>
      </c>
    </row>
    <row r="14" spans="1:13" ht="15" thickBot="1" x14ac:dyDescent="0.4">
      <c r="A14" s="228"/>
      <c r="B14" s="157"/>
      <c r="C14" s="157"/>
      <c r="D14" s="157"/>
      <c r="E14" s="228"/>
      <c r="F14" s="95"/>
      <c r="G14" s="95"/>
      <c r="H14" s="80"/>
    </row>
    <row r="15" spans="1:13" ht="15" thickBot="1" x14ac:dyDescent="0.4">
      <c r="A15" s="160" t="s">
        <v>1</v>
      </c>
      <c r="B15" s="158"/>
      <c r="C15" s="158"/>
      <c r="D15" s="158"/>
      <c r="E15" s="253"/>
      <c r="F15" s="200"/>
      <c r="G15" s="200"/>
      <c r="H15" s="4"/>
    </row>
    <row r="16" spans="1:13" x14ac:dyDescent="0.35">
      <c r="A16" s="161" t="s">
        <v>86</v>
      </c>
      <c r="B16" s="216">
        <v>30</v>
      </c>
      <c r="C16" s="216"/>
      <c r="D16" s="216">
        <f>[2]Sheet1!$F$153+[2]Sheet1!$F$251+[2]Sheet1!$F$253+[2]Sheet1!$F$254+[2]Sheet1!$F$258+[2]Sheet1!$F$259+[2]Sheet1!$F$1292</f>
        <v>27687.43</v>
      </c>
      <c r="E16" s="254">
        <v>14639.05</v>
      </c>
      <c r="F16" s="216">
        <v>30</v>
      </c>
      <c r="G16" s="216"/>
      <c r="H16" s="4" t="s">
        <v>182</v>
      </c>
    </row>
    <row r="17" spans="1:8" x14ac:dyDescent="0.35">
      <c r="A17" s="162" t="s">
        <v>87</v>
      </c>
      <c r="B17" s="217">
        <v>40</v>
      </c>
      <c r="C17" s="216"/>
      <c r="D17" s="216">
        <f>[2]Sheet1!$F$321+[2]Sheet1!$F$324</f>
        <v>24125.200000000001</v>
      </c>
      <c r="E17" s="255">
        <v>40300</v>
      </c>
      <c r="F17" s="217">
        <v>30</v>
      </c>
      <c r="G17" s="217"/>
      <c r="H17" s="4"/>
    </row>
    <row r="18" spans="1:8" x14ac:dyDescent="0.35">
      <c r="A18" s="162" t="s">
        <v>88</v>
      </c>
      <c r="B18" s="217">
        <v>350</v>
      </c>
      <c r="C18" s="216"/>
      <c r="D18" s="216">
        <f>[2]Sheet1!$F$333-[2]Sheet1!$F$321-[2]Sheet1!$F$324</f>
        <v>117124.79999999999</v>
      </c>
      <c r="E18" s="255">
        <v>306694.82</v>
      </c>
      <c r="F18" s="217">
        <v>150</v>
      </c>
      <c r="G18" s="217"/>
      <c r="H18" s="510"/>
    </row>
    <row r="19" spans="1:8" x14ac:dyDescent="0.35">
      <c r="A19" s="451" t="s">
        <v>89</v>
      </c>
      <c r="B19" s="165">
        <v>2000</v>
      </c>
      <c r="C19" s="511"/>
      <c r="D19" s="216">
        <f>[2]Sheet1!$F$145+[2]Sheet1!$F$248+[2]Sheet1!$F$261+[2]Sheet1!$F$285+[2]Sheet1!$F$308+[2]Sheet1!$F$320+[2]Sheet1!$F$108-[2]Sheet1!$F$259-[2]Sheet1!$F$258-[2]Sheet1!$F$254-[2]Sheet1!$F$253-[2]Sheet1!$F$251+[2]Sheet1!$F$336+[2]Sheet1!$F$1094-17.43</f>
        <v>1668741.4700000002</v>
      </c>
      <c r="E19" s="256">
        <f>1932825.81+42439.15</f>
        <v>1975264.96</v>
      </c>
      <c r="F19" s="165">
        <v>2000</v>
      </c>
      <c r="G19" s="165"/>
      <c r="H19" s="510"/>
    </row>
    <row r="20" spans="1:8" ht="15" thickBot="1" x14ac:dyDescent="0.4">
      <c r="A20" s="451" t="s">
        <v>183</v>
      </c>
      <c r="B20" s="165"/>
      <c r="C20" s="165"/>
      <c r="D20" s="165">
        <v>-368359</v>
      </c>
      <c r="E20" s="256"/>
      <c r="F20" s="165"/>
      <c r="G20" s="165"/>
      <c r="H20" s="4"/>
    </row>
    <row r="21" spans="1:8" ht="15" thickBot="1" x14ac:dyDescent="0.4">
      <c r="A21" s="452" t="s">
        <v>85</v>
      </c>
      <c r="B21" s="269">
        <f>SUM(B16:B20)</f>
        <v>2420</v>
      </c>
      <c r="C21" s="269">
        <v>1820</v>
      </c>
      <c r="D21" s="269">
        <f>SUM(D16:D20)</f>
        <v>1469319.9000000001</v>
      </c>
      <c r="E21" s="269">
        <f>SUM(E16:E20)</f>
        <v>2336898.83</v>
      </c>
      <c r="F21" s="269">
        <f>SUM(F16:F20)</f>
        <v>2210</v>
      </c>
      <c r="G21" s="269">
        <f>SUM(G16:G20)</f>
        <v>0</v>
      </c>
      <c r="H21" s="4"/>
    </row>
    <row r="22" spans="1:8" ht="15" thickBot="1" x14ac:dyDescent="0.4">
      <c r="A22" s="228"/>
      <c r="B22" s="482"/>
      <c r="C22" s="482"/>
      <c r="D22" s="482"/>
      <c r="E22" s="576"/>
      <c r="F22" s="198"/>
      <c r="G22" s="198"/>
      <c r="H22" s="4"/>
    </row>
    <row r="23" spans="1:8" ht="15" thickBot="1" x14ac:dyDescent="0.4">
      <c r="A23" s="453" t="s">
        <v>2</v>
      </c>
      <c r="B23" s="98"/>
      <c r="C23" s="98"/>
      <c r="D23" s="98"/>
      <c r="E23" s="577"/>
      <c r="F23" s="206"/>
      <c r="G23" s="206"/>
      <c r="H23" s="4"/>
    </row>
    <row r="24" spans="1:8" ht="15" thickBot="1" x14ac:dyDescent="0.4">
      <c r="A24" s="454" t="s">
        <v>90</v>
      </c>
      <c r="B24" s="243">
        <v>5</v>
      </c>
      <c r="C24" s="243">
        <v>0</v>
      </c>
      <c r="D24" s="243">
        <v>0</v>
      </c>
      <c r="E24" s="578">
        <v>680</v>
      </c>
      <c r="F24" s="243">
        <v>0</v>
      </c>
      <c r="G24" s="243"/>
      <c r="H24" s="4"/>
    </row>
    <row r="25" spans="1:8" ht="15" thickBot="1" x14ac:dyDescent="0.4">
      <c r="A25" s="455" t="s">
        <v>85</v>
      </c>
      <c r="B25" s="169">
        <f>B24</f>
        <v>5</v>
      </c>
      <c r="C25" s="169">
        <v>0</v>
      </c>
      <c r="D25" s="169">
        <f>D24</f>
        <v>0</v>
      </c>
      <c r="E25" s="169">
        <f>E24</f>
        <v>680</v>
      </c>
      <c r="F25" s="169">
        <f>F24</f>
        <v>0</v>
      </c>
      <c r="G25" s="169">
        <f>G24</f>
        <v>0</v>
      </c>
      <c r="H25" s="4"/>
    </row>
    <row r="26" spans="1:8" x14ac:dyDescent="0.35">
      <c r="A26" s="228"/>
      <c r="B26" s="482"/>
      <c r="C26" s="482"/>
      <c r="D26" s="482"/>
      <c r="E26" s="576"/>
      <c r="F26" s="198"/>
      <c r="G26" s="198"/>
      <c r="H26" s="4"/>
    </row>
    <row r="27" spans="1:8" ht="15" thickBot="1" x14ac:dyDescent="0.4">
      <c r="A27" s="228"/>
      <c r="B27" s="482"/>
      <c r="C27" s="482"/>
      <c r="D27" s="482"/>
      <c r="E27" s="576"/>
      <c r="F27" s="198"/>
      <c r="G27" s="198"/>
      <c r="H27" s="4"/>
    </row>
    <row r="28" spans="1:8" ht="15" thickBot="1" x14ac:dyDescent="0.4">
      <c r="A28" s="456" t="s">
        <v>91</v>
      </c>
      <c r="B28" s="99"/>
      <c r="C28" s="99"/>
      <c r="D28" s="99"/>
      <c r="E28" s="579"/>
      <c r="F28" s="208"/>
      <c r="G28" s="208"/>
      <c r="H28" s="4"/>
    </row>
    <row r="29" spans="1:8" ht="15" thickBot="1" x14ac:dyDescent="0.4">
      <c r="A29" s="457" t="s">
        <v>92</v>
      </c>
      <c r="B29" s="246">
        <v>50</v>
      </c>
      <c r="C29" s="246">
        <v>78</v>
      </c>
      <c r="D29" s="580">
        <f>[2]Sheet1!$F$374</f>
        <v>78437.149999999994</v>
      </c>
      <c r="E29" s="581">
        <f>67468.43-19952.64</f>
        <v>47515.789999999994</v>
      </c>
      <c r="F29" s="246">
        <v>80</v>
      </c>
      <c r="G29" s="246"/>
      <c r="H29" s="4"/>
    </row>
    <row r="30" spans="1:8" ht="15" thickBot="1" x14ac:dyDescent="0.4">
      <c r="A30" s="458" t="s">
        <v>85</v>
      </c>
      <c r="B30" s="170">
        <f t="shared" ref="B30:G30" si="1">B29</f>
        <v>50</v>
      </c>
      <c r="C30" s="170">
        <f t="shared" si="1"/>
        <v>78</v>
      </c>
      <c r="D30" s="170">
        <f t="shared" si="1"/>
        <v>78437.149999999994</v>
      </c>
      <c r="E30" s="170">
        <f t="shared" si="1"/>
        <v>47515.789999999994</v>
      </c>
      <c r="F30" s="170">
        <f t="shared" si="1"/>
        <v>80</v>
      </c>
      <c r="G30" s="170">
        <f t="shared" si="1"/>
        <v>0</v>
      </c>
      <c r="H30" s="4"/>
    </row>
    <row r="31" spans="1:8" ht="15" thickBot="1" x14ac:dyDescent="0.4">
      <c r="A31" s="228"/>
      <c r="B31" s="482"/>
      <c r="C31" s="482"/>
      <c r="D31" s="482"/>
      <c r="E31" s="576"/>
      <c r="F31" s="198"/>
      <c r="G31" s="198"/>
      <c r="H31" s="4"/>
    </row>
    <row r="32" spans="1:8" ht="15" thickBot="1" x14ac:dyDescent="0.4">
      <c r="A32" s="459" t="s">
        <v>3</v>
      </c>
      <c r="B32" s="483">
        <v>0</v>
      </c>
      <c r="C32" s="483">
        <v>149</v>
      </c>
      <c r="D32" s="460">
        <f>[2]Sheet1!$F$338+[2]Sheet1!$F$343</f>
        <v>76583.8</v>
      </c>
      <c r="E32" s="582"/>
      <c r="F32" s="241">
        <v>0</v>
      </c>
      <c r="G32" s="241"/>
      <c r="H32" s="4" t="s">
        <v>184</v>
      </c>
    </row>
    <row r="33" spans="1:11" ht="15" thickBot="1" x14ac:dyDescent="0.4">
      <c r="A33" s="461" t="s">
        <v>85</v>
      </c>
      <c r="B33" s="101">
        <v>0</v>
      </c>
      <c r="C33" s="409">
        <f>C32</f>
        <v>149</v>
      </c>
      <c r="D33" s="583">
        <f>D32</f>
        <v>76583.8</v>
      </c>
      <c r="E33" s="584"/>
      <c r="F33" s="409">
        <v>0</v>
      </c>
      <c r="G33" s="409">
        <v>0</v>
      </c>
      <c r="H33" s="4"/>
    </row>
    <row r="34" spans="1:11" ht="15" thickBot="1" x14ac:dyDescent="0.4">
      <c r="A34" s="228"/>
      <c r="B34" s="482"/>
      <c r="C34" s="482"/>
      <c r="D34" s="482"/>
      <c r="E34" s="258"/>
      <c r="F34" s="201"/>
      <c r="G34" s="201"/>
      <c r="H34" s="484"/>
      <c r="I34" s="485"/>
      <c r="J34" s="484"/>
      <c r="K34" s="484"/>
    </row>
    <row r="35" spans="1:11" ht="15" thickBot="1" x14ac:dyDescent="0.4">
      <c r="A35" s="462" t="s">
        <v>5</v>
      </c>
      <c r="B35" s="102"/>
      <c r="C35" s="102"/>
      <c r="D35" s="102"/>
      <c r="E35" s="265"/>
      <c r="F35" s="210"/>
      <c r="G35" s="210"/>
      <c r="H35" s="484"/>
      <c r="I35" s="485"/>
      <c r="J35" s="484"/>
      <c r="K35" s="484"/>
    </row>
    <row r="36" spans="1:11" x14ac:dyDescent="0.35">
      <c r="A36" s="463" t="s">
        <v>93</v>
      </c>
      <c r="B36" s="219">
        <v>15</v>
      </c>
      <c r="C36" s="219"/>
      <c r="D36" s="219">
        <f>[2]Sheet1!$F$526</f>
        <v>2943.63</v>
      </c>
      <c r="E36" s="266">
        <v>7445.08</v>
      </c>
      <c r="F36" s="219">
        <v>5</v>
      </c>
      <c r="G36" s="219"/>
    </row>
    <row r="37" spans="1:11" x14ac:dyDescent="0.35">
      <c r="A37" s="344" t="s">
        <v>94</v>
      </c>
      <c r="B37" s="220">
        <v>300</v>
      </c>
      <c r="C37" s="219"/>
      <c r="D37" s="219">
        <f>[2]Sheet1!$F$500</f>
        <v>252217.04</v>
      </c>
      <c r="E37" s="267">
        <v>228341.43</v>
      </c>
      <c r="F37" s="220">
        <v>320</v>
      </c>
      <c r="G37" s="220"/>
      <c r="H37" s="396"/>
    </row>
    <row r="38" spans="1:11" x14ac:dyDescent="0.35">
      <c r="A38" s="344" t="s">
        <v>95</v>
      </c>
      <c r="B38" s="220">
        <v>1600</v>
      </c>
      <c r="C38" s="219"/>
      <c r="D38" s="219">
        <f>[2]Sheet1!$F$639</f>
        <v>1424984.69</v>
      </c>
      <c r="E38" s="267">
        <v>1284398.76</v>
      </c>
      <c r="F38" s="220">
        <v>2000</v>
      </c>
      <c r="G38" s="220"/>
    </row>
    <row r="39" spans="1:11" x14ac:dyDescent="0.35">
      <c r="A39" s="344" t="s">
        <v>96</v>
      </c>
      <c r="B39" s="220">
        <v>400</v>
      </c>
      <c r="C39" s="219"/>
      <c r="D39" s="219">
        <f>[2]Sheet1!$F$564</f>
        <v>299507.82</v>
      </c>
      <c r="E39" s="267">
        <v>288378.52</v>
      </c>
      <c r="F39" s="220">
        <v>350</v>
      </c>
      <c r="G39" s="220"/>
      <c r="H39" s="85"/>
    </row>
    <row r="40" spans="1:11" x14ac:dyDescent="0.35">
      <c r="A40" s="344" t="s">
        <v>97</v>
      </c>
      <c r="B40" s="220">
        <v>20</v>
      </c>
      <c r="C40" s="219"/>
      <c r="D40" s="219">
        <f>[2]Sheet1!$F$539</f>
        <v>23660.5</v>
      </c>
      <c r="E40" s="267">
        <v>3825</v>
      </c>
      <c r="F40" s="220">
        <v>30</v>
      </c>
      <c r="G40" s="220"/>
    </row>
    <row r="41" spans="1:11" ht="15" thickBot="1" x14ac:dyDescent="0.4">
      <c r="A41" s="344" t="s">
        <v>99</v>
      </c>
      <c r="B41" s="220">
        <v>400</v>
      </c>
      <c r="C41" s="219"/>
      <c r="D41" s="219">
        <f>[2]Sheet1!$F$1029+[2]Sheet1!$F$449+[2]Sheet1!$F$532+[2]Sheet1!$F$653</f>
        <v>128826.56000000001</v>
      </c>
      <c r="E41" s="93">
        <f>108747.73+128734.61+14539.5+51372.69+34202.96+1022.7+25500+6.45+6190</f>
        <v>370316.64000000007</v>
      </c>
      <c r="F41" s="267">
        <v>400</v>
      </c>
      <c r="G41" s="267"/>
    </row>
    <row r="42" spans="1:11" ht="15" thickBot="1" x14ac:dyDescent="0.4">
      <c r="A42" s="466" t="s">
        <v>85</v>
      </c>
      <c r="B42" s="341">
        <f>SUM(B36:B41)</f>
        <v>2735</v>
      </c>
      <c r="C42" s="341">
        <v>1886</v>
      </c>
      <c r="D42" s="341">
        <f>SUM(D36:D41)</f>
        <v>2132140.2399999998</v>
      </c>
      <c r="E42" s="341">
        <f>SUM(E36:E41)</f>
        <v>2182705.4300000002</v>
      </c>
      <c r="F42" s="341">
        <f>SUM(F36:F41)</f>
        <v>3105</v>
      </c>
      <c r="G42" s="341">
        <f>SUM(G36:G41)</f>
        <v>0</v>
      </c>
      <c r="H42" s="512"/>
    </row>
    <row r="43" spans="1:11" ht="15" thickBot="1" x14ac:dyDescent="0.4">
      <c r="A43" s="250" t="s">
        <v>105</v>
      </c>
      <c r="B43" s="168">
        <v>150</v>
      </c>
      <c r="C43" s="168">
        <v>209</v>
      </c>
      <c r="D43" s="168">
        <f>[2]Sheet1!$F$1128</f>
        <v>190364</v>
      </c>
      <c r="E43" s="167">
        <v>146245</v>
      </c>
      <c r="F43" s="168">
        <v>250</v>
      </c>
      <c r="G43" s="168"/>
      <c r="H43" s="196"/>
    </row>
    <row r="44" spans="1:11" ht="19" thickBot="1" x14ac:dyDescent="0.5">
      <c r="A44" s="486" t="s">
        <v>10</v>
      </c>
      <c r="B44" s="223">
        <f t="shared" ref="B44:G44" si="2">B13+B21+B25+B30+B33+B42+B43</f>
        <v>22474</v>
      </c>
      <c r="C44" s="223">
        <f t="shared" si="2"/>
        <v>20085</v>
      </c>
      <c r="D44" s="223">
        <f t="shared" si="2"/>
        <v>19889458.089999996</v>
      </c>
      <c r="E44" s="223">
        <f t="shared" si="2"/>
        <v>4714045.0500000007</v>
      </c>
      <c r="F44" s="252">
        <f t="shared" si="2"/>
        <v>23501.800000000003</v>
      </c>
      <c r="G44" s="252">
        <f t="shared" si="2"/>
        <v>230</v>
      </c>
      <c r="H44" s="196"/>
      <c r="I44" s="196"/>
    </row>
    <row r="45" spans="1:11" ht="19" thickBot="1" x14ac:dyDescent="0.5">
      <c r="A45" s="486" t="s">
        <v>10</v>
      </c>
      <c r="B45" s="223"/>
      <c r="C45" s="223"/>
      <c r="D45" s="223">
        <f>D14+D22+D26+D31+D34+D43+D44</f>
        <v>20079822.089999996</v>
      </c>
      <c r="E45" s="223">
        <f>E14+E22+E26+E31+E34+E43+E44</f>
        <v>4860290.0500000007</v>
      </c>
      <c r="F45" s="622">
        <f>F44+G44</f>
        <v>23731.800000000003</v>
      </c>
      <c r="G45" s="623"/>
      <c r="H45" s="196"/>
      <c r="I45" s="196">
        <v>23213</v>
      </c>
    </row>
    <row r="46" spans="1:11" ht="13.9" customHeight="1" x14ac:dyDescent="0.35">
      <c r="A46" s="197"/>
      <c r="B46" s="197"/>
      <c r="C46" s="197"/>
      <c r="D46" s="541"/>
      <c r="E46" s="541"/>
      <c r="F46" s="396"/>
    </row>
    <row r="47" spans="1:11" ht="42" customHeight="1" x14ac:dyDescent="0.35">
      <c r="A47" s="624" t="s">
        <v>185</v>
      </c>
      <c r="B47" s="624"/>
      <c r="C47" s="624"/>
      <c r="D47" s="624"/>
      <c r="E47" s="624"/>
      <c r="F47" s="624"/>
      <c r="H47" s="196"/>
    </row>
    <row r="48" spans="1:11" x14ac:dyDescent="0.35">
      <c r="A48" s="396"/>
      <c r="B48" s="396"/>
      <c r="C48" s="396"/>
      <c r="D48" s="396"/>
      <c r="E48" s="396"/>
      <c r="F48" s="396"/>
    </row>
    <row r="49" spans="1:6" ht="30.75" customHeight="1" x14ac:dyDescent="0.35">
      <c r="A49" s="624" t="s">
        <v>186</v>
      </c>
      <c r="B49" s="624"/>
      <c r="C49" s="624"/>
      <c r="D49" s="624"/>
      <c r="E49" s="624"/>
      <c r="F49" s="624"/>
    </row>
    <row r="50" spans="1:6" x14ac:dyDescent="0.35">
      <c r="A50" s="396"/>
      <c r="B50" s="396"/>
      <c r="C50" s="396"/>
      <c r="D50" s="396"/>
      <c r="E50" s="396"/>
      <c r="F50" s="396"/>
    </row>
    <row r="51" spans="1:6" ht="51" customHeight="1" x14ac:dyDescent="0.35">
      <c r="A51" s="593"/>
      <c r="B51" s="593"/>
      <c r="C51" s="593"/>
      <c r="D51" s="593"/>
      <c r="E51" s="593"/>
      <c r="F51" s="593"/>
    </row>
    <row r="53" spans="1:6" x14ac:dyDescent="0.35">
      <c r="A53" s="487"/>
    </row>
    <row r="54" spans="1:6" x14ac:dyDescent="0.35">
      <c r="A54" s="487"/>
    </row>
    <row r="55" spans="1:6" x14ac:dyDescent="0.35">
      <c r="A55" s="487"/>
    </row>
    <row r="56" spans="1:6" x14ac:dyDescent="0.35">
      <c r="A56" s="487"/>
    </row>
    <row r="57" spans="1:6" x14ac:dyDescent="0.35">
      <c r="A57" s="487"/>
    </row>
    <row r="58" spans="1:6" x14ac:dyDescent="0.35">
      <c r="A58" s="487"/>
    </row>
    <row r="59" spans="1:6" x14ac:dyDescent="0.35">
      <c r="A59" s="487"/>
    </row>
    <row r="60" spans="1:6" x14ac:dyDescent="0.35">
      <c r="A60" s="487"/>
    </row>
  </sheetData>
  <mergeCells count="4">
    <mergeCell ref="F45:G45"/>
    <mergeCell ref="A47:F47"/>
    <mergeCell ref="A49:F49"/>
    <mergeCell ref="A51:F5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G23" sqref="G23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24" style="346" customWidth="1"/>
    <col min="4" max="4" width="18.453125" style="346" customWidth="1"/>
    <col min="5" max="16384" width="9.1796875" style="346"/>
  </cols>
  <sheetData>
    <row r="1" spans="1:6" ht="24" thickBot="1" x14ac:dyDescent="0.6">
      <c r="A1" s="207" t="s">
        <v>161</v>
      </c>
      <c r="B1" s="347"/>
      <c r="C1" s="347"/>
      <c r="D1" s="498"/>
    </row>
    <row r="2" spans="1:6" ht="19" thickBot="1" x14ac:dyDescent="0.5">
      <c r="A2" s="82" t="s">
        <v>216</v>
      </c>
      <c r="B2" s="239" t="s">
        <v>134</v>
      </c>
      <c r="C2" s="239" t="s">
        <v>163</v>
      </c>
      <c r="D2" s="240" t="s">
        <v>164</v>
      </c>
    </row>
    <row r="3" spans="1:6" ht="15" thickBot="1" x14ac:dyDescent="0.4">
      <c r="A3" s="203" t="s">
        <v>77</v>
      </c>
      <c r="B3" s="398"/>
      <c r="C3" s="398"/>
      <c r="D3" s="204"/>
    </row>
    <row r="4" spans="1:6" x14ac:dyDescent="0.35">
      <c r="A4" s="450" t="s">
        <v>78</v>
      </c>
      <c r="B4" s="211">
        <v>867</v>
      </c>
      <c r="C4" s="225">
        <v>861</v>
      </c>
      <c r="D4" s="211">
        <f>971*1.05</f>
        <v>1019.5500000000001</v>
      </c>
      <c r="E4" s="175" t="s">
        <v>173</v>
      </c>
    </row>
    <row r="5" spans="1:6" x14ac:dyDescent="0.35">
      <c r="A5" s="226" t="s">
        <v>79</v>
      </c>
      <c r="B5" s="212">
        <v>52</v>
      </c>
      <c r="C5" s="226">
        <v>58</v>
      </c>
      <c r="D5" s="212">
        <v>65</v>
      </c>
    </row>
    <row r="6" spans="1:6" x14ac:dyDescent="0.35">
      <c r="A6" s="226" t="s">
        <v>80</v>
      </c>
      <c r="B6" s="212">
        <v>335</v>
      </c>
      <c r="C6" s="226">
        <v>331</v>
      </c>
      <c r="D6" s="212">
        <f>(D4+D5)*0.3642</f>
        <v>394.99311000000012</v>
      </c>
      <c r="F6" s="196"/>
    </row>
    <row r="7" spans="1:6" x14ac:dyDescent="0.35">
      <c r="A7" s="226" t="s">
        <v>81</v>
      </c>
      <c r="B7" s="213">
        <v>0</v>
      </c>
      <c r="C7" s="226">
        <v>0</v>
      </c>
      <c r="D7" s="213">
        <v>0</v>
      </c>
    </row>
    <row r="8" spans="1:6" x14ac:dyDescent="0.35">
      <c r="A8" s="226" t="s">
        <v>98</v>
      </c>
      <c r="B8" s="213">
        <v>0</v>
      </c>
      <c r="C8" s="226">
        <v>0</v>
      </c>
      <c r="D8" s="213">
        <v>0</v>
      </c>
    </row>
    <row r="9" spans="1:6" x14ac:dyDescent="0.35">
      <c r="A9" s="226" t="s">
        <v>82</v>
      </c>
      <c r="B9" s="212">
        <v>29</v>
      </c>
      <c r="C9" s="226">
        <v>8</v>
      </c>
      <c r="D9" s="212">
        <v>30</v>
      </c>
    </row>
    <row r="10" spans="1:6" x14ac:dyDescent="0.35">
      <c r="A10" s="226" t="s">
        <v>83</v>
      </c>
      <c r="B10" s="212">
        <v>36</v>
      </c>
      <c r="C10" s="226">
        <v>29</v>
      </c>
      <c r="D10" s="212">
        <v>42</v>
      </c>
    </row>
    <row r="11" spans="1:6" x14ac:dyDescent="0.35">
      <c r="A11" s="226" t="s">
        <v>84</v>
      </c>
      <c r="B11" s="212">
        <v>1</v>
      </c>
      <c r="C11" s="226">
        <v>1</v>
      </c>
      <c r="D11" s="212">
        <v>1</v>
      </c>
    </row>
    <row r="12" spans="1:6" ht="15" thickBot="1" x14ac:dyDescent="0.4">
      <c r="A12" s="227"/>
      <c r="B12" s="163"/>
      <c r="C12" s="227"/>
      <c r="D12" s="214"/>
    </row>
    <row r="13" spans="1:6" ht="15" thickBot="1" x14ac:dyDescent="0.4">
      <c r="A13" s="159" t="s">
        <v>85</v>
      </c>
      <c r="B13" s="215">
        <f>SUM(B4:B12)</f>
        <v>1320</v>
      </c>
      <c r="C13" s="215">
        <f>SUM(C4:C12)</f>
        <v>1288</v>
      </c>
      <c r="D13" s="215">
        <f>SUM(D4:D12)</f>
        <v>1552.5431100000003</v>
      </c>
    </row>
    <row r="14" spans="1:6" ht="15" thickBot="1" x14ac:dyDescent="0.4">
      <c r="A14" s="194"/>
      <c r="B14" s="95"/>
      <c r="C14" s="228"/>
      <c r="D14" s="195"/>
    </row>
    <row r="15" spans="1:6" ht="15" thickBot="1" x14ac:dyDescent="0.4">
      <c r="A15" s="160" t="s">
        <v>1</v>
      </c>
      <c r="B15" s="158"/>
      <c r="C15" s="253"/>
      <c r="D15" s="200"/>
    </row>
    <row r="16" spans="1:6" x14ac:dyDescent="0.35">
      <c r="A16" s="161" t="s">
        <v>86</v>
      </c>
      <c r="B16" s="216">
        <v>4</v>
      </c>
      <c r="C16" s="254">
        <v>1</v>
      </c>
      <c r="D16" s="216">
        <v>3</v>
      </c>
    </row>
    <row r="17" spans="1:4" x14ac:dyDescent="0.35">
      <c r="A17" s="162" t="s">
        <v>87</v>
      </c>
      <c r="B17" s="217">
        <v>0</v>
      </c>
      <c r="C17" s="255">
        <v>0</v>
      </c>
      <c r="D17" s="217">
        <v>0</v>
      </c>
    </row>
    <row r="18" spans="1:4" x14ac:dyDescent="0.35">
      <c r="A18" s="162" t="s">
        <v>88</v>
      </c>
      <c r="B18" s="217">
        <v>7</v>
      </c>
      <c r="C18" s="255">
        <v>7</v>
      </c>
      <c r="D18" s="217">
        <v>7</v>
      </c>
    </row>
    <row r="19" spans="1:4" x14ac:dyDescent="0.35">
      <c r="A19" s="451" t="s">
        <v>89</v>
      </c>
      <c r="B19" s="218">
        <v>7</v>
      </c>
      <c r="C19" s="256">
        <v>3</v>
      </c>
      <c r="D19" s="218">
        <v>8</v>
      </c>
    </row>
    <row r="20" spans="1:4" ht="15" thickBot="1" x14ac:dyDescent="0.4">
      <c r="A20" s="451"/>
      <c r="B20" s="165"/>
      <c r="C20" s="256"/>
      <c r="D20" s="218"/>
    </row>
    <row r="21" spans="1:4" ht="15" thickBot="1" x14ac:dyDescent="0.4">
      <c r="A21" s="452" t="s">
        <v>85</v>
      </c>
      <c r="B21" s="269">
        <f>SUM(B16:B20)</f>
        <v>18</v>
      </c>
      <c r="C21" s="269">
        <f t="shared" ref="C21:D21" si="0">SUM(C16:C20)</f>
        <v>11</v>
      </c>
      <c r="D21" s="269">
        <f t="shared" si="0"/>
        <v>18</v>
      </c>
    </row>
    <row r="22" spans="1:4" ht="15" thickBot="1" x14ac:dyDescent="0.4">
      <c r="A22" s="194"/>
      <c r="B22" s="198"/>
      <c r="C22" s="258"/>
      <c r="D22" s="198"/>
    </row>
    <row r="23" spans="1:4" ht="15" thickBot="1" x14ac:dyDescent="0.4">
      <c r="A23" s="453" t="s">
        <v>2</v>
      </c>
      <c r="B23" s="98"/>
      <c r="C23" s="259"/>
      <c r="D23" s="206"/>
    </row>
    <row r="24" spans="1:4" ht="15" thickBot="1" x14ac:dyDescent="0.4">
      <c r="A24" s="454" t="s">
        <v>90</v>
      </c>
      <c r="B24" s="243">
        <v>7</v>
      </c>
      <c r="C24" s="260">
        <v>1</v>
      </c>
      <c r="D24" s="243">
        <v>7</v>
      </c>
    </row>
    <row r="25" spans="1:4" ht="15" thickBot="1" x14ac:dyDescent="0.4">
      <c r="A25" s="455" t="s">
        <v>85</v>
      </c>
      <c r="B25" s="169">
        <f>SUM(B23:B24)</f>
        <v>7</v>
      </c>
      <c r="C25" s="169">
        <f t="shared" ref="C25:D25" si="1">SUM(C23:C24)</f>
        <v>1</v>
      </c>
      <c r="D25" s="169">
        <f t="shared" si="1"/>
        <v>7</v>
      </c>
    </row>
    <row r="26" spans="1:4" x14ac:dyDescent="0.35">
      <c r="A26" s="194"/>
      <c r="B26" s="198"/>
      <c r="C26" s="258"/>
      <c r="D26" s="198"/>
    </row>
    <row r="27" spans="1:4" ht="15" thickBot="1" x14ac:dyDescent="0.4">
      <c r="A27" s="194"/>
      <c r="B27" s="198"/>
      <c r="C27" s="258"/>
      <c r="D27" s="198"/>
    </row>
    <row r="28" spans="1:4" ht="15" thickBot="1" x14ac:dyDescent="0.4">
      <c r="A28" s="456" t="s">
        <v>91</v>
      </c>
      <c r="B28" s="99"/>
      <c r="C28" s="262"/>
      <c r="D28" s="208"/>
    </row>
    <row r="29" spans="1:4" ht="15" thickBot="1" x14ac:dyDescent="0.4">
      <c r="A29" s="457" t="s">
        <v>92</v>
      </c>
      <c r="B29" s="246">
        <v>0</v>
      </c>
      <c r="C29" s="263">
        <v>0</v>
      </c>
      <c r="D29" s="246">
        <v>0</v>
      </c>
    </row>
    <row r="30" spans="1:4" ht="15" thickBot="1" x14ac:dyDescent="0.4">
      <c r="A30" s="458" t="s">
        <v>85</v>
      </c>
      <c r="B30" s="170">
        <f>SUM(B28:B29)</f>
        <v>0</v>
      </c>
      <c r="C30" s="170">
        <f t="shared" ref="C30:D30" si="2">SUM(C28:C29)</f>
        <v>0</v>
      </c>
      <c r="D30" s="170">
        <f t="shared" si="2"/>
        <v>0</v>
      </c>
    </row>
    <row r="31" spans="1:4" ht="15" thickBot="1" x14ac:dyDescent="0.4">
      <c r="A31" s="194"/>
      <c r="B31" s="198"/>
      <c r="C31" s="258"/>
      <c r="D31" s="198"/>
    </row>
    <row r="32" spans="1:4" ht="15" thickBot="1" x14ac:dyDescent="0.4">
      <c r="A32" s="459" t="s">
        <v>3</v>
      </c>
      <c r="B32" s="460">
        <v>70</v>
      </c>
      <c r="C32" s="343"/>
      <c r="D32" s="241">
        <v>70</v>
      </c>
    </row>
    <row r="33" spans="1:4" ht="15" thickBot="1" x14ac:dyDescent="0.4">
      <c r="A33" s="461" t="s">
        <v>85</v>
      </c>
      <c r="B33" s="409">
        <f>SUM(B32)</f>
        <v>70</v>
      </c>
      <c r="C33" s="409">
        <v>0</v>
      </c>
      <c r="D33" s="409">
        <v>70</v>
      </c>
    </row>
    <row r="34" spans="1:4" ht="15" thickBot="1" x14ac:dyDescent="0.4">
      <c r="A34" s="194"/>
      <c r="B34" s="198"/>
      <c r="C34" s="258"/>
      <c r="D34" s="201"/>
    </row>
    <row r="35" spans="1:4" ht="15" thickBot="1" x14ac:dyDescent="0.4">
      <c r="A35" s="462" t="s">
        <v>5</v>
      </c>
      <c r="B35" s="102"/>
      <c r="C35" s="265"/>
      <c r="D35" s="210"/>
    </row>
    <row r="36" spans="1:4" x14ac:dyDescent="0.35">
      <c r="A36" s="463" t="s">
        <v>93</v>
      </c>
      <c r="B36" s="219">
        <v>3</v>
      </c>
      <c r="C36" s="266">
        <v>2</v>
      </c>
      <c r="D36" s="219">
        <v>3</v>
      </c>
    </row>
    <row r="37" spans="1:4" x14ac:dyDescent="0.35">
      <c r="A37" s="344" t="s">
        <v>94</v>
      </c>
      <c r="B37" s="220">
        <v>3</v>
      </c>
      <c r="C37" s="267">
        <v>0</v>
      </c>
      <c r="D37" s="220">
        <v>3</v>
      </c>
    </row>
    <row r="38" spans="1:4" x14ac:dyDescent="0.35">
      <c r="A38" s="344" t="s">
        <v>95</v>
      </c>
      <c r="B38" s="221">
        <v>7</v>
      </c>
      <c r="C38" s="267">
        <v>6</v>
      </c>
      <c r="D38" s="221">
        <v>7</v>
      </c>
    </row>
    <row r="39" spans="1:4" x14ac:dyDescent="0.35">
      <c r="A39" s="344" t="s">
        <v>96</v>
      </c>
      <c r="B39" s="221">
        <v>2</v>
      </c>
      <c r="C39" s="267">
        <v>2</v>
      </c>
      <c r="D39" s="221">
        <v>2</v>
      </c>
    </row>
    <row r="40" spans="1:4" x14ac:dyDescent="0.35">
      <c r="A40" s="344" t="s">
        <v>97</v>
      </c>
      <c r="B40" s="221">
        <v>1</v>
      </c>
      <c r="C40" s="267">
        <v>0</v>
      </c>
      <c r="D40" s="221">
        <v>1</v>
      </c>
    </row>
    <row r="41" spans="1:4" ht="15" thickBot="1" x14ac:dyDescent="0.4">
      <c r="A41" s="464" t="s">
        <v>99</v>
      </c>
      <c r="B41" s="221">
        <v>10</v>
      </c>
      <c r="C41" s="93">
        <v>2</v>
      </c>
      <c r="D41" s="465">
        <v>10</v>
      </c>
    </row>
    <row r="42" spans="1:4" ht="15" thickBot="1" x14ac:dyDescent="0.4">
      <c r="A42" s="466" t="s">
        <v>85</v>
      </c>
      <c r="B42" s="341">
        <f>SUM(B36:B41)</f>
        <v>26</v>
      </c>
      <c r="C42" s="341">
        <f t="shared" ref="C42:D42" si="3">SUM(C36:C41)</f>
        <v>12</v>
      </c>
      <c r="D42" s="341">
        <f t="shared" si="3"/>
        <v>26</v>
      </c>
    </row>
    <row r="43" spans="1:4" ht="15" thickBot="1" x14ac:dyDescent="0.4">
      <c r="A43" s="249"/>
      <c r="B43" s="168"/>
      <c r="C43" s="250"/>
      <c r="D43" s="251"/>
    </row>
    <row r="44" spans="1:4" ht="19" thickBot="1" x14ac:dyDescent="0.5">
      <c r="A44" s="391" t="s">
        <v>10</v>
      </c>
      <c r="B44" s="223">
        <f>B42+B33+B30+B25+B21+B13</f>
        <v>1441</v>
      </c>
      <c r="C44" s="223">
        <f t="shared" ref="C44:D44" si="4">C42+C33+C30+C25+C21+C13</f>
        <v>1312</v>
      </c>
      <c r="D44" s="223">
        <f t="shared" si="4"/>
        <v>1673.5431100000003</v>
      </c>
    </row>
    <row r="45" spans="1:4" x14ac:dyDescent="0.35">
      <c r="A45" s="396"/>
      <c r="B45" s="396"/>
      <c r="C45" s="396"/>
      <c r="D45" s="396"/>
    </row>
    <row r="46" spans="1:4" x14ac:dyDescent="0.35">
      <c r="A46" s="197"/>
      <c r="B46" s="197"/>
      <c r="C46" s="197"/>
      <c r="D46" s="396"/>
    </row>
    <row r="47" spans="1:4" ht="33" customHeight="1" x14ac:dyDescent="0.35">
      <c r="A47" s="396"/>
      <c r="B47" s="396"/>
      <c r="C47" s="396"/>
      <c r="D47" s="396"/>
    </row>
    <row r="48" spans="1:4" x14ac:dyDescent="0.35">
      <c r="A48" s="396"/>
      <c r="B48" s="396"/>
      <c r="C48" s="396"/>
      <c r="D48" s="396"/>
    </row>
    <row r="49" spans="1:4" ht="4.1500000000000004" customHeight="1" x14ac:dyDescent="0.35">
      <c r="A49" s="396"/>
      <c r="B49" s="396"/>
      <c r="C49" s="396"/>
      <c r="D49" s="396"/>
    </row>
    <row r="50" spans="1:4" ht="23.5" customHeight="1" x14ac:dyDescent="0.35">
      <c r="A50" s="396"/>
      <c r="B50" s="396"/>
      <c r="C50" s="396"/>
      <c r="D50" s="396"/>
    </row>
  </sheetData>
  <pageMargins left="0.7" right="0.7" top="0.78740157499999996" bottom="0.78740157499999996" header="0.3" footer="0.3"/>
  <pageSetup paperSize="9" scale="8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44"/>
  <sheetViews>
    <sheetView workbookViewId="0">
      <selection activeCell="A2" sqref="A2"/>
    </sheetView>
  </sheetViews>
  <sheetFormatPr defaultColWidth="9.1796875" defaultRowHeight="14.5" x14ac:dyDescent="0.35"/>
  <cols>
    <col min="1" max="1" width="37.7265625" style="346" bestFit="1" customWidth="1"/>
    <col min="2" max="2" width="21.1796875" style="346" bestFit="1" customWidth="1"/>
    <col min="3" max="3" width="24" style="346" customWidth="1"/>
    <col min="4" max="4" width="22.7265625" style="346" bestFit="1" customWidth="1"/>
    <col min="5" max="16384" width="9.1796875" style="346"/>
  </cols>
  <sheetData>
    <row r="1" spans="1:16" ht="24" thickBot="1" x14ac:dyDescent="0.6">
      <c r="A1" s="207" t="s">
        <v>130</v>
      </c>
      <c r="B1" s="347"/>
      <c r="C1" s="347"/>
    </row>
    <row r="2" spans="1:16" ht="19.5" customHeight="1" thickBot="1" x14ac:dyDescent="0.5">
      <c r="A2" s="82" t="s">
        <v>138</v>
      </c>
      <c r="B2" s="585" t="s">
        <v>134</v>
      </c>
      <c r="C2" s="585" t="s">
        <v>163</v>
      </c>
      <c r="D2" s="585" t="s">
        <v>164</v>
      </c>
      <c r="H2" s="449"/>
      <c r="I2" s="449"/>
      <c r="J2" s="449"/>
      <c r="K2" s="449"/>
      <c r="L2" s="449"/>
      <c r="M2" s="449"/>
      <c r="N2" s="449"/>
      <c r="O2" s="449"/>
      <c r="P2" s="449"/>
    </row>
    <row r="3" spans="1:16" ht="15.75" customHeight="1" thickBot="1" x14ac:dyDescent="0.4">
      <c r="A3" s="203" t="s">
        <v>77</v>
      </c>
      <c r="B3" s="398"/>
      <c r="C3" s="398"/>
      <c r="D3" s="204"/>
      <c r="H3" s="449"/>
      <c r="I3" s="449"/>
      <c r="J3" s="449"/>
      <c r="K3" s="449"/>
      <c r="L3" s="449"/>
      <c r="M3" s="449"/>
      <c r="N3" s="449"/>
      <c r="O3" s="449"/>
      <c r="P3" s="449"/>
    </row>
    <row r="4" spans="1:16" ht="15" customHeight="1" x14ac:dyDescent="0.35">
      <c r="A4" s="350" t="s">
        <v>78</v>
      </c>
      <c r="B4" s="155">
        <v>2419</v>
      </c>
      <c r="C4" s="83">
        <v>2550</v>
      </c>
      <c r="D4" s="211">
        <f>2489*1.05</f>
        <v>2613.4500000000003</v>
      </c>
      <c r="H4" s="449"/>
      <c r="I4" s="449"/>
      <c r="J4" s="449"/>
      <c r="K4" s="449"/>
      <c r="L4" s="449"/>
      <c r="M4" s="449"/>
      <c r="N4" s="449"/>
      <c r="O4" s="449"/>
      <c r="P4" s="449"/>
    </row>
    <row r="5" spans="1:16" ht="15" customHeight="1" x14ac:dyDescent="0.35">
      <c r="A5" s="352" t="s">
        <v>79</v>
      </c>
      <c r="B5" s="155">
        <v>208</v>
      </c>
      <c r="C5" s="155">
        <v>220</v>
      </c>
      <c r="D5" s="212">
        <v>215</v>
      </c>
      <c r="H5" s="449"/>
      <c r="I5" s="449"/>
      <c r="J5" s="449"/>
      <c r="K5" s="449"/>
      <c r="L5" s="449"/>
      <c r="M5" s="449"/>
      <c r="N5" s="449"/>
      <c r="O5" s="449"/>
      <c r="P5" s="449"/>
    </row>
    <row r="6" spans="1:16" x14ac:dyDescent="0.35">
      <c r="A6" s="352" t="s">
        <v>80</v>
      </c>
      <c r="B6" s="155">
        <v>952</v>
      </c>
      <c r="C6" s="155">
        <v>1005</v>
      </c>
      <c r="D6" s="212">
        <v>979</v>
      </c>
      <c r="F6" s="196"/>
    </row>
    <row r="7" spans="1:16" x14ac:dyDescent="0.35">
      <c r="A7" s="352" t="s">
        <v>81</v>
      </c>
      <c r="B7" s="155">
        <v>90</v>
      </c>
      <c r="C7" s="155"/>
      <c r="D7" s="212">
        <v>90</v>
      </c>
    </row>
    <row r="8" spans="1:16" x14ac:dyDescent="0.35">
      <c r="A8" s="352" t="s">
        <v>98</v>
      </c>
      <c r="B8" s="155">
        <v>33</v>
      </c>
      <c r="C8" s="155"/>
      <c r="D8" s="212">
        <v>31</v>
      </c>
    </row>
    <row r="9" spans="1:16" x14ac:dyDescent="0.35">
      <c r="A9" s="352" t="s">
        <v>82</v>
      </c>
      <c r="B9" s="155">
        <v>315</v>
      </c>
      <c r="C9" s="155">
        <v>136</v>
      </c>
      <c r="D9" s="212">
        <v>478</v>
      </c>
    </row>
    <row r="10" spans="1:16" x14ac:dyDescent="0.35">
      <c r="A10" s="352" t="s">
        <v>83</v>
      </c>
      <c r="B10" s="155">
        <v>102</v>
      </c>
      <c r="C10" s="155">
        <v>137</v>
      </c>
      <c r="D10" s="212">
        <v>171</v>
      </c>
    </row>
    <row r="11" spans="1:16" x14ac:dyDescent="0.35">
      <c r="A11" s="352" t="s">
        <v>84</v>
      </c>
      <c r="B11" s="155"/>
      <c r="C11" s="155"/>
      <c r="D11" s="212"/>
    </row>
    <row r="12" spans="1:16" ht="15" thickBot="1" x14ac:dyDescent="0.4">
      <c r="A12" s="231"/>
      <c r="B12" s="84">
        <v>2000</v>
      </c>
      <c r="C12" s="84">
        <v>1643</v>
      </c>
      <c r="D12" s="163">
        <v>1358</v>
      </c>
    </row>
    <row r="13" spans="1:16" ht="15" thickBot="1" x14ac:dyDescent="0.4">
      <c r="A13" s="353" t="s">
        <v>85</v>
      </c>
      <c r="B13" s="215">
        <f>SUM(B4:B12)</f>
        <v>6119</v>
      </c>
      <c r="C13" s="215">
        <f t="shared" ref="C13:D13" si="0">SUM(C4:C12)</f>
        <v>5691</v>
      </c>
      <c r="D13" s="215">
        <f t="shared" si="0"/>
        <v>5935.4500000000007</v>
      </c>
    </row>
    <row r="14" spans="1:16" ht="15" thickBot="1" x14ac:dyDescent="0.4">
      <c r="A14" s="194"/>
      <c r="B14" s="258"/>
      <c r="C14" s="258"/>
      <c r="D14" s="95"/>
    </row>
    <row r="15" spans="1:16" ht="15" thickBot="1" x14ac:dyDescent="0.4">
      <c r="A15" s="199" t="s">
        <v>1</v>
      </c>
      <c r="B15" s="253"/>
      <c r="C15" s="253"/>
      <c r="D15" s="158"/>
    </row>
    <row r="16" spans="1:16" x14ac:dyDescent="0.35">
      <c r="A16" s="357" t="s">
        <v>86</v>
      </c>
      <c r="B16" s="254">
        <v>35</v>
      </c>
      <c r="C16" s="254"/>
      <c r="D16" s="216">
        <v>50</v>
      </c>
    </row>
    <row r="17" spans="1:4" x14ac:dyDescent="0.35">
      <c r="A17" s="234" t="s">
        <v>87</v>
      </c>
      <c r="B17" s="254">
        <v>45</v>
      </c>
      <c r="C17" s="255"/>
      <c r="D17" s="217"/>
    </row>
    <row r="18" spans="1:4" x14ac:dyDescent="0.35">
      <c r="A18" s="234" t="s">
        <v>88</v>
      </c>
      <c r="B18" s="254">
        <v>210</v>
      </c>
      <c r="C18" s="255"/>
      <c r="D18" s="217">
        <v>110</v>
      </c>
    </row>
    <row r="19" spans="1:4" x14ac:dyDescent="0.35">
      <c r="A19" s="358" t="s">
        <v>89</v>
      </c>
      <c r="B19" s="254">
        <v>160</v>
      </c>
      <c r="C19" s="256"/>
      <c r="D19" s="165">
        <v>300</v>
      </c>
    </row>
    <row r="20" spans="1:4" ht="15" thickBot="1" x14ac:dyDescent="0.4">
      <c r="A20" s="358"/>
      <c r="B20" s="254"/>
      <c r="C20" s="256"/>
      <c r="D20" s="165"/>
    </row>
    <row r="21" spans="1:4" ht="15" thickBot="1" x14ac:dyDescent="0.4">
      <c r="A21" s="360" t="s">
        <v>85</v>
      </c>
      <c r="B21" s="257">
        <v>450</v>
      </c>
      <c r="C21" s="257">
        <v>285</v>
      </c>
      <c r="D21" s="269">
        <v>460</v>
      </c>
    </row>
    <row r="22" spans="1:4" ht="15" thickBot="1" x14ac:dyDescent="0.4">
      <c r="A22" s="194"/>
      <c r="B22" s="258"/>
      <c r="C22" s="258"/>
      <c r="D22" s="198"/>
    </row>
    <row r="23" spans="1:4" ht="15" thickBot="1" x14ac:dyDescent="0.4">
      <c r="A23" s="205" t="s">
        <v>2</v>
      </c>
      <c r="B23" s="259"/>
      <c r="C23" s="259"/>
      <c r="D23" s="98"/>
    </row>
    <row r="24" spans="1:4" ht="15" thickBot="1" x14ac:dyDescent="0.4">
      <c r="A24" s="364" t="s">
        <v>90</v>
      </c>
      <c r="B24" s="260">
        <v>62</v>
      </c>
      <c r="C24" s="260">
        <v>7</v>
      </c>
      <c r="D24" s="243">
        <v>40</v>
      </c>
    </row>
    <row r="25" spans="1:4" ht="15" thickBot="1" x14ac:dyDescent="0.4">
      <c r="A25" s="366" t="s">
        <v>85</v>
      </c>
      <c r="B25" s="261">
        <v>62</v>
      </c>
      <c r="C25" s="261">
        <v>7</v>
      </c>
      <c r="D25" s="169">
        <v>40</v>
      </c>
    </row>
    <row r="26" spans="1:4" x14ac:dyDescent="0.35">
      <c r="A26" s="194"/>
      <c r="B26" s="258"/>
      <c r="C26" s="258"/>
      <c r="D26" s="198"/>
    </row>
    <row r="27" spans="1:4" ht="15" thickBot="1" x14ac:dyDescent="0.4">
      <c r="A27" s="194"/>
      <c r="B27" s="258"/>
      <c r="C27" s="258"/>
      <c r="D27" s="198"/>
    </row>
    <row r="28" spans="1:4" ht="15" thickBot="1" x14ac:dyDescent="0.4">
      <c r="A28" s="202" t="s">
        <v>91</v>
      </c>
      <c r="B28" s="262"/>
      <c r="C28" s="262"/>
      <c r="D28" s="99"/>
    </row>
    <row r="29" spans="1:4" ht="15" thickBot="1" x14ac:dyDescent="0.4">
      <c r="A29" s="370" t="s">
        <v>92</v>
      </c>
      <c r="B29" s="263">
        <v>15</v>
      </c>
      <c r="C29" s="263">
        <v>13</v>
      </c>
      <c r="D29" s="246">
        <v>130</v>
      </c>
    </row>
    <row r="30" spans="1:4" ht="15" thickBot="1" x14ac:dyDescent="0.4">
      <c r="A30" s="372" t="s">
        <v>85</v>
      </c>
      <c r="B30" s="264">
        <v>15</v>
      </c>
      <c r="C30" s="264">
        <v>13</v>
      </c>
      <c r="D30" s="170">
        <v>130</v>
      </c>
    </row>
    <row r="31" spans="1:4" ht="15" thickBot="1" x14ac:dyDescent="0.4">
      <c r="A31" s="194"/>
      <c r="B31" s="258"/>
      <c r="C31" s="258"/>
      <c r="D31" s="198"/>
    </row>
    <row r="32" spans="1:4" ht="15" thickBot="1" x14ac:dyDescent="0.4">
      <c r="A32" s="151" t="s">
        <v>3</v>
      </c>
      <c r="B32" s="100"/>
      <c r="C32" s="100"/>
      <c r="D32" s="100">
        <v>0</v>
      </c>
    </row>
    <row r="33" spans="1:4" ht="15" thickBot="1" x14ac:dyDescent="0.4">
      <c r="A33" s="153" t="s">
        <v>85</v>
      </c>
      <c r="B33" s="409">
        <v>0</v>
      </c>
      <c r="C33" s="409">
        <v>0</v>
      </c>
      <c r="D33" s="409">
        <v>0</v>
      </c>
    </row>
    <row r="34" spans="1:4" ht="15" thickBot="1" x14ac:dyDescent="0.4">
      <c r="A34" s="194"/>
      <c r="B34" s="258"/>
      <c r="C34" s="258"/>
      <c r="D34" s="198"/>
    </row>
    <row r="35" spans="1:4" ht="15" thickBot="1" x14ac:dyDescent="0.4">
      <c r="A35" s="209" t="s">
        <v>5</v>
      </c>
      <c r="B35" s="265"/>
      <c r="C35" s="265"/>
      <c r="D35" s="102"/>
    </row>
    <row r="36" spans="1:4" x14ac:dyDescent="0.35">
      <c r="A36" s="381" t="s">
        <v>93</v>
      </c>
      <c r="B36" s="266">
        <v>13</v>
      </c>
      <c r="C36" s="266">
        <v>15</v>
      </c>
      <c r="D36" s="266">
        <v>14</v>
      </c>
    </row>
    <row r="37" spans="1:4" x14ac:dyDescent="0.35">
      <c r="A37" s="236" t="s">
        <v>94</v>
      </c>
      <c r="B37" s="267">
        <v>3</v>
      </c>
      <c r="C37" s="267">
        <v>1</v>
      </c>
      <c r="D37" s="267">
        <v>4</v>
      </c>
    </row>
    <row r="38" spans="1:4" x14ac:dyDescent="0.35">
      <c r="A38" s="236" t="s">
        <v>97</v>
      </c>
      <c r="B38" s="267">
        <v>30</v>
      </c>
      <c r="C38" s="267">
        <v>7</v>
      </c>
      <c r="D38" s="267">
        <v>20</v>
      </c>
    </row>
    <row r="39" spans="1:4" ht="15" thickBot="1" x14ac:dyDescent="0.4">
      <c r="A39" s="92" t="s">
        <v>107</v>
      </c>
      <c r="B39" s="93">
        <v>650</v>
      </c>
      <c r="C39" s="93">
        <v>335</v>
      </c>
      <c r="D39" s="93">
        <v>170</v>
      </c>
    </row>
    <row r="40" spans="1:4" ht="15" thickBot="1" x14ac:dyDescent="0.4">
      <c r="A40" s="383" t="s">
        <v>85</v>
      </c>
      <c r="B40" s="94">
        <v>696</v>
      </c>
      <c r="C40" s="94">
        <v>358</v>
      </c>
      <c r="D40" s="94">
        <v>208</v>
      </c>
    </row>
    <row r="41" spans="1:4" ht="15" thickBot="1" x14ac:dyDescent="0.4">
      <c r="A41" s="586" t="s">
        <v>105</v>
      </c>
      <c r="B41" s="587">
        <v>90</v>
      </c>
      <c r="C41" s="587">
        <v>149</v>
      </c>
      <c r="D41" s="588">
        <v>140</v>
      </c>
    </row>
    <row r="42" spans="1:4" ht="19" thickBot="1" x14ac:dyDescent="0.5">
      <c r="A42" s="391" t="s">
        <v>10</v>
      </c>
      <c r="B42" s="589">
        <f>B13+B21+B25+B30+B40+B41</f>
        <v>7432</v>
      </c>
      <c r="C42" s="252">
        <f>C13+C21+C25+C30+C40+C41</f>
        <v>6503</v>
      </c>
      <c r="D42" s="252">
        <f>D13+D21+D25+D30+D40+D41</f>
        <v>6913.4500000000007</v>
      </c>
    </row>
    <row r="44" spans="1:4" x14ac:dyDescent="0.35">
      <c r="C44" s="196"/>
      <c r="D44" s="196"/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A3" sqref="A3"/>
    </sheetView>
  </sheetViews>
  <sheetFormatPr defaultColWidth="9.1796875" defaultRowHeight="14.5" x14ac:dyDescent="0.35"/>
  <cols>
    <col min="1" max="1" width="37.7265625" style="191" bestFit="1" customWidth="1"/>
    <col min="2" max="2" width="19.453125" style="191" customWidth="1"/>
    <col min="3" max="3" width="24" style="191" customWidth="1"/>
    <col min="4" max="4" width="18.453125" style="191" customWidth="1"/>
    <col min="5" max="16384" width="9.1796875" style="191"/>
  </cols>
  <sheetData>
    <row r="1" spans="1:6" ht="24" thickBot="1" x14ac:dyDescent="0.6">
      <c r="A1" s="207" t="s">
        <v>161</v>
      </c>
      <c r="B1" s="192"/>
      <c r="C1" s="192"/>
      <c r="D1" s="191" t="s">
        <v>162</v>
      </c>
    </row>
    <row r="2" spans="1:6" ht="19" thickBot="1" x14ac:dyDescent="0.5">
      <c r="A2" s="82" t="s">
        <v>118</v>
      </c>
      <c r="B2" s="239" t="s">
        <v>134</v>
      </c>
      <c r="C2" s="239" t="s">
        <v>163</v>
      </c>
      <c r="D2" s="240" t="s">
        <v>164</v>
      </c>
    </row>
    <row r="3" spans="1:6" ht="15" thickBot="1" x14ac:dyDescent="0.4">
      <c r="A3" s="203" t="s">
        <v>77</v>
      </c>
      <c r="B3" s="224"/>
      <c r="C3" s="224"/>
      <c r="D3" s="204"/>
    </row>
    <row r="4" spans="1:6" x14ac:dyDescent="0.35">
      <c r="A4" s="229" t="s">
        <v>78</v>
      </c>
      <c r="B4" s="83">
        <v>1002</v>
      </c>
      <c r="C4" s="83">
        <v>1013</v>
      </c>
      <c r="D4" s="211">
        <v>1008</v>
      </c>
    </row>
    <row r="5" spans="1:6" x14ac:dyDescent="0.35">
      <c r="A5" s="230" t="s">
        <v>79</v>
      </c>
      <c r="B5" s="155">
        <v>75</v>
      </c>
      <c r="C5" s="155">
        <v>97</v>
      </c>
      <c r="D5" s="212">
        <v>100</v>
      </c>
    </row>
    <row r="6" spans="1:6" x14ac:dyDescent="0.35">
      <c r="A6" s="230" t="s">
        <v>80</v>
      </c>
      <c r="B6" s="155">
        <v>392</v>
      </c>
      <c r="C6" s="155">
        <v>406</v>
      </c>
      <c r="D6" s="212">
        <v>404</v>
      </c>
      <c r="F6" s="196"/>
    </row>
    <row r="7" spans="1:6" x14ac:dyDescent="0.35">
      <c r="A7" s="230" t="s">
        <v>81</v>
      </c>
      <c r="B7" s="226"/>
      <c r="C7" s="226"/>
      <c r="D7" s="213"/>
    </row>
    <row r="8" spans="1:6" x14ac:dyDescent="0.35">
      <c r="A8" s="230" t="s">
        <v>98</v>
      </c>
      <c r="B8" s="226"/>
      <c r="C8" s="226"/>
      <c r="D8" s="213"/>
    </row>
    <row r="9" spans="1:6" x14ac:dyDescent="0.35">
      <c r="A9" s="230" t="s">
        <v>82</v>
      </c>
      <c r="B9" s="155">
        <v>400</v>
      </c>
      <c r="C9" s="155">
        <v>372</v>
      </c>
      <c r="D9" s="212">
        <v>400</v>
      </c>
    </row>
    <row r="10" spans="1:6" x14ac:dyDescent="0.35">
      <c r="A10" s="230" t="s">
        <v>83</v>
      </c>
      <c r="B10" s="226">
        <v>20</v>
      </c>
      <c r="C10" s="155">
        <v>3</v>
      </c>
      <c r="D10" s="212">
        <v>3</v>
      </c>
    </row>
    <row r="11" spans="1:6" x14ac:dyDescent="0.35">
      <c r="A11" s="230" t="s">
        <v>84</v>
      </c>
      <c r="B11" s="226"/>
      <c r="C11" s="226"/>
      <c r="D11" s="212"/>
    </row>
    <row r="12" spans="1:6" ht="15" thickBot="1" x14ac:dyDescent="0.4">
      <c r="A12" s="231"/>
      <c r="B12" s="227"/>
      <c r="C12" s="227"/>
      <c r="D12" s="214"/>
    </row>
    <row r="13" spans="1:6" ht="15" thickBot="1" x14ac:dyDescent="0.4">
      <c r="A13" s="232" t="s">
        <v>85</v>
      </c>
      <c r="B13" s="215">
        <v>1889</v>
      </c>
      <c r="C13" s="215">
        <v>1891</v>
      </c>
      <c r="D13" s="215">
        <v>1915</v>
      </c>
    </row>
    <row r="14" spans="1:6" ht="15" thickBot="1" x14ac:dyDescent="0.4">
      <c r="A14" s="194"/>
      <c r="B14" s="228"/>
      <c r="C14" s="228"/>
      <c r="D14" s="195"/>
    </row>
    <row r="15" spans="1:6" ht="15" thickBot="1" x14ac:dyDescent="0.4">
      <c r="A15" s="199" t="s">
        <v>1</v>
      </c>
      <c r="B15" s="253"/>
      <c r="C15" s="253"/>
      <c r="D15" s="200"/>
    </row>
    <row r="16" spans="1:6" x14ac:dyDescent="0.35">
      <c r="A16" s="233" t="s">
        <v>86</v>
      </c>
      <c r="B16" s="254">
        <v>5</v>
      </c>
      <c r="C16" s="254"/>
      <c r="D16" s="216">
        <v>5</v>
      </c>
    </row>
    <row r="17" spans="1:4" x14ac:dyDescent="0.35">
      <c r="A17" s="234" t="s">
        <v>87</v>
      </c>
      <c r="B17" s="255"/>
      <c r="C17" s="255"/>
      <c r="D17" s="217"/>
    </row>
    <row r="18" spans="1:4" x14ac:dyDescent="0.35">
      <c r="A18" s="234" t="s">
        <v>88</v>
      </c>
      <c r="B18" s="255"/>
      <c r="C18" s="255">
        <v>5</v>
      </c>
      <c r="D18" s="217">
        <v>40</v>
      </c>
    </row>
    <row r="19" spans="1:4" x14ac:dyDescent="0.35">
      <c r="A19" s="235" t="s">
        <v>89</v>
      </c>
      <c r="B19" s="256"/>
      <c r="C19" s="256">
        <v>35</v>
      </c>
      <c r="D19" s="218"/>
    </row>
    <row r="20" spans="1:4" ht="15" thickBot="1" x14ac:dyDescent="0.4">
      <c r="A20" s="235"/>
      <c r="B20" s="256"/>
      <c r="C20" s="256"/>
      <c r="D20" s="218"/>
    </row>
    <row r="21" spans="1:4" ht="15" thickBot="1" x14ac:dyDescent="0.4">
      <c r="A21" s="248" t="s">
        <v>85</v>
      </c>
      <c r="B21" s="257">
        <v>5</v>
      </c>
      <c r="C21" s="257">
        <v>40</v>
      </c>
      <c r="D21" s="257">
        <v>45</v>
      </c>
    </row>
    <row r="22" spans="1:4" ht="15" thickBot="1" x14ac:dyDescent="0.4">
      <c r="A22" s="194"/>
      <c r="B22" s="258"/>
      <c r="C22" s="258"/>
      <c r="D22" s="198"/>
    </row>
    <row r="23" spans="1:4" ht="15" thickBot="1" x14ac:dyDescent="0.4">
      <c r="A23" s="205" t="s">
        <v>2</v>
      </c>
      <c r="B23" s="259"/>
      <c r="C23" s="259"/>
      <c r="D23" s="206"/>
    </row>
    <row r="24" spans="1:4" ht="15" thickBot="1" x14ac:dyDescent="0.4">
      <c r="A24" s="242" t="s">
        <v>90</v>
      </c>
      <c r="B24" s="260">
        <v>50</v>
      </c>
      <c r="C24" s="260">
        <v>5</v>
      </c>
      <c r="D24" s="243">
        <v>60</v>
      </c>
    </row>
    <row r="25" spans="1:4" ht="15" thickBot="1" x14ac:dyDescent="0.4">
      <c r="A25" s="244" t="s">
        <v>85</v>
      </c>
      <c r="B25" s="261">
        <v>50</v>
      </c>
      <c r="C25" s="261">
        <v>5</v>
      </c>
      <c r="D25" s="169">
        <v>60</v>
      </c>
    </row>
    <row r="26" spans="1:4" x14ac:dyDescent="0.35">
      <c r="A26" s="194"/>
      <c r="B26" s="258"/>
      <c r="C26" s="258"/>
      <c r="D26" s="198"/>
    </row>
    <row r="27" spans="1:4" ht="15" thickBot="1" x14ac:dyDescent="0.4">
      <c r="A27" s="194"/>
      <c r="B27" s="258"/>
      <c r="C27" s="258"/>
      <c r="D27" s="198"/>
    </row>
    <row r="28" spans="1:4" ht="15" thickBot="1" x14ac:dyDescent="0.4">
      <c r="A28" s="202" t="s">
        <v>91</v>
      </c>
      <c r="B28" s="262"/>
      <c r="C28" s="262"/>
      <c r="D28" s="208"/>
    </row>
    <row r="29" spans="1:4" ht="15" thickBot="1" x14ac:dyDescent="0.4">
      <c r="A29" s="245" t="s">
        <v>92</v>
      </c>
      <c r="B29" s="263">
        <v>5</v>
      </c>
      <c r="C29" s="263"/>
      <c r="D29" s="246">
        <v>5</v>
      </c>
    </row>
    <row r="30" spans="1:4" ht="15" thickBot="1" x14ac:dyDescent="0.4">
      <c r="A30" s="247" t="s">
        <v>85</v>
      </c>
      <c r="B30" s="264">
        <v>5</v>
      </c>
      <c r="C30" s="264">
        <v>0</v>
      </c>
      <c r="D30" s="170">
        <v>5</v>
      </c>
    </row>
    <row r="31" spans="1:4" ht="15" thickBot="1" x14ac:dyDescent="0.4">
      <c r="A31" s="194"/>
      <c r="B31" s="258"/>
      <c r="C31" s="258"/>
      <c r="D31" s="198"/>
    </row>
    <row r="32" spans="1:4" ht="15" thickBot="1" x14ac:dyDescent="0.4">
      <c r="A32" s="86" t="s">
        <v>3</v>
      </c>
      <c r="B32" s="88"/>
      <c r="C32" s="88"/>
      <c r="D32" s="241"/>
    </row>
    <row r="33" spans="1:4" ht="15" thickBot="1" x14ac:dyDescent="0.4">
      <c r="A33" s="488" t="s">
        <v>85</v>
      </c>
      <c r="B33" s="440">
        <v>0</v>
      </c>
      <c r="C33" s="440">
        <v>0</v>
      </c>
      <c r="D33" s="120">
        <v>0</v>
      </c>
    </row>
    <row r="34" spans="1:4" ht="15" thickBot="1" x14ac:dyDescent="0.4">
      <c r="A34" s="489"/>
      <c r="B34" s="258"/>
      <c r="C34" s="258"/>
      <c r="D34" s="201"/>
    </row>
    <row r="35" spans="1:4" ht="15" thickBot="1" x14ac:dyDescent="0.4">
      <c r="A35" s="209" t="s">
        <v>5</v>
      </c>
      <c r="B35" s="265"/>
      <c r="C35" s="265"/>
      <c r="D35" s="210"/>
    </row>
    <row r="36" spans="1:4" x14ac:dyDescent="0.35">
      <c r="A36" s="475" t="s">
        <v>93</v>
      </c>
      <c r="B36" s="174">
        <v>15</v>
      </c>
      <c r="C36" s="174">
        <v>5</v>
      </c>
      <c r="D36" s="476">
        <v>15</v>
      </c>
    </row>
    <row r="37" spans="1:4" x14ac:dyDescent="0.35">
      <c r="A37" s="236" t="s">
        <v>94</v>
      </c>
      <c r="B37" s="267"/>
      <c r="C37" s="267"/>
      <c r="D37" s="220"/>
    </row>
    <row r="38" spans="1:4" x14ac:dyDescent="0.35">
      <c r="A38" s="236" t="s">
        <v>95</v>
      </c>
      <c r="B38" s="267"/>
      <c r="C38" s="267"/>
      <c r="D38" s="221"/>
    </row>
    <row r="39" spans="1:4" x14ac:dyDescent="0.35">
      <c r="A39" s="236" t="s">
        <v>96</v>
      </c>
      <c r="B39" s="267"/>
      <c r="C39" s="267"/>
      <c r="D39" s="221"/>
    </row>
    <row r="40" spans="1:4" x14ac:dyDescent="0.35">
      <c r="A40" s="236" t="s">
        <v>97</v>
      </c>
      <c r="B40" s="267"/>
      <c r="C40" s="267"/>
      <c r="D40" s="221"/>
    </row>
    <row r="41" spans="1:4" ht="15" thickBot="1" x14ac:dyDescent="0.4">
      <c r="A41" s="467" t="s">
        <v>99</v>
      </c>
      <c r="B41" s="468"/>
      <c r="C41" s="468"/>
      <c r="D41" s="477"/>
    </row>
    <row r="42" spans="1:4" ht="15" thickBot="1" x14ac:dyDescent="0.4">
      <c r="A42" s="469" t="s">
        <v>85</v>
      </c>
      <c r="B42" s="470">
        <v>15</v>
      </c>
      <c r="C42" s="470">
        <v>5</v>
      </c>
      <c r="D42" s="470">
        <v>15</v>
      </c>
    </row>
    <row r="43" spans="1:4" ht="15" thickBot="1" x14ac:dyDescent="0.4">
      <c r="A43" s="249"/>
      <c r="B43" s="250"/>
      <c r="C43" s="250"/>
      <c r="D43" s="251"/>
    </row>
    <row r="44" spans="1:4" ht="19" thickBot="1" x14ac:dyDescent="0.5">
      <c r="A44" s="238" t="s">
        <v>10</v>
      </c>
      <c r="B44" s="252">
        <v>1964</v>
      </c>
      <c r="C44" s="252">
        <v>1941</v>
      </c>
      <c r="D44" s="252">
        <v>2040</v>
      </c>
    </row>
    <row r="45" spans="1:4" x14ac:dyDescent="0.35">
      <c r="A45" s="193"/>
      <c r="B45" s="193"/>
      <c r="C45" s="193"/>
      <c r="D45" s="193"/>
    </row>
    <row r="46" spans="1:4" x14ac:dyDescent="0.35">
      <c r="A46" s="197"/>
      <c r="B46" s="197"/>
      <c r="C46" s="197"/>
      <c r="D46" s="193"/>
    </row>
    <row r="47" spans="1:4" x14ac:dyDescent="0.35">
      <c r="A47" s="193"/>
      <c r="B47" s="193"/>
      <c r="C47" s="193"/>
      <c r="D47" s="193"/>
    </row>
    <row r="48" spans="1:4" x14ac:dyDescent="0.35">
      <c r="A48" s="193"/>
      <c r="B48" s="193"/>
      <c r="C48" s="193"/>
      <c r="D48" s="193"/>
    </row>
    <row r="49" spans="1:4" x14ac:dyDescent="0.35">
      <c r="A49" s="193"/>
      <c r="B49" s="193"/>
      <c r="C49" s="193"/>
      <c r="D49" s="193"/>
    </row>
    <row r="50" spans="1:4" x14ac:dyDescent="0.35">
      <c r="A50" s="193"/>
      <c r="B50" s="193"/>
      <c r="C50" s="193"/>
      <c r="D50" s="193"/>
    </row>
  </sheetData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topLeftCell="B4" workbookViewId="0">
      <selection activeCell="L28" sqref="L28"/>
    </sheetView>
  </sheetViews>
  <sheetFormatPr defaultRowHeight="14.5" x14ac:dyDescent="0.35"/>
  <cols>
    <col min="1" max="1" width="0" hidden="1" customWidth="1"/>
    <col min="2" max="2" width="27.453125" customWidth="1"/>
    <col min="3" max="3" width="14.453125" customWidth="1"/>
    <col min="4" max="4" width="10" customWidth="1"/>
    <col min="5" max="5" width="11.54296875" customWidth="1"/>
    <col min="6" max="6" width="12.81640625" customWidth="1"/>
    <col min="7" max="7" width="12.1796875" customWidth="1"/>
    <col min="8" max="8" width="12.7265625" customWidth="1"/>
    <col min="9" max="9" width="23.54296875" customWidth="1"/>
    <col min="10" max="10" width="12.26953125" customWidth="1"/>
    <col min="11" max="11" width="13.81640625" customWidth="1"/>
    <col min="12" max="13" width="15" style="4" bestFit="1" customWidth="1"/>
    <col min="14" max="14" width="17.26953125" customWidth="1"/>
    <col min="15" max="15" width="16" customWidth="1"/>
    <col min="16" max="16" width="16.1796875" customWidth="1"/>
    <col min="17" max="17" width="14.54296875" customWidth="1"/>
    <col min="18" max="18" width="8" customWidth="1"/>
    <col min="19" max="19" width="7.453125" customWidth="1"/>
    <col min="20" max="20" width="15.1796875" customWidth="1"/>
    <col min="23" max="23" width="16" bestFit="1" customWidth="1"/>
    <col min="24" max="24" width="15.1796875" customWidth="1"/>
  </cols>
  <sheetData>
    <row r="1" spans="2:14" ht="21" x14ac:dyDescent="0.5">
      <c r="B1" s="62" t="s">
        <v>67</v>
      </c>
      <c r="C1" s="62"/>
      <c r="D1" s="62"/>
      <c r="E1" s="62"/>
    </row>
    <row r="2" spans="2:14" ht="21" x14ac:dyDescent="0.5">
      <c r="B2" s="53" t="s">
        <v>46</v>
      </c>
    </row>
    <row r="3" spans="2:14" ht="21" x14ac:dyDescent="0.5">
      <c r="B3" s="53" t="s">
        <v>47</v>
      </c>
      <c r="C3" s="53"/>
      <c r="D3" s="53"/>
      <c r="E3" s="53"/>
    </row>
    <row r="4" spans="2:14" ht="21" x14ac:dyDescent="0.5">
      <c r="B4" s="53"/>
      <c r="C4" s="53"/>
      <c r="D4" s="53"/>
      <c r="E4" s="53"/>
    </row>
    <row r="5" spans="2:14" ht="64.5" customHeight="1" thickBot="1" x14ac:dyDescent="0.4">
      <c r="B5" s="45" t="s">
        <v>48</v>
      </c>
      <c r="D5" s="25" t="s">
        <v>62</v>
      </c>
      <c r="E5" s="25" t="s">
        <v>1</v>
      </c>
      <c r="F5" s="25" t="s">
        <v>2</v>
      </c>
      <c r="G5" s="25" t="s">
        <v>3</v>
      </c>
      <c r="H5" s="25" t="s">
        <v>4</v>
      </c>
      <c r="I5" s="25" t="s">
        <v>5</v>
      </c>
      <c r="J5" s="28" t="s">
        <v>13</v>
      </c>
      <c r="K5" s="28" t="s">
        <v>12</v>
      </c>
      <c r="L5" s="48"/>
      <c r="M5" s="48"/>
    </row>
    <row r="6" spans="2:14" x14ac:dyDescent="0.35">
      <c r="B6" s="4" t="s">
        <v>6</v>
      </c>
      <c r="C6" s="60">
        <v>3900</v>
      </c>
      <c r="D6" s="22">
        <v>9950000</v>
      </c>
      <c r="E6" s="23">
        <v>50000</v>
      </c>
      <c r="F6" s="23">
        <v>40000</v>
      </c>
      <c r="G6" s="52">
        <v>0</v>
      </c>
      <c r="H6" s="23">
        <v>10000</v>
      </c>
      <c r="I6" s="23">
        <v>200000</v>
      </c>
      <c r="J6" s="23">
        <v>58459</v>
      </c>
      <c r="K6" s="63">
        <f>SUM(D6:J6)</f>
        <v>10308459</v>
      </c>
      <c r="L6" s="2"/>
      <c r="M6" s="2"/>
      <c r="N6" s="3"/>
    </row>
    <row r="7" spans="2:14" x14ac:dyDescent="0.35">
      <c r="B7" t="s">
        <v>65</v>
      </c>
      <c r="C7" s="60">
        <v>3923</v>
      </c>
      <c r="D7" s="24">
        <v>959421</v>
      </c>
      <c r="E7" s="11">
        <v>29400</v>
      </c>
      <c r="F7" s="11">
        <v>1500</v>
      </c>
      <c r="G7" s="29">
        <v>0</v>
      </c>
      <c r="H7" s="11">
        <v>3000</v>
      </c>
      <c r="I7" s="11">
        <v>367054</v>
      </c>
      <c r="J7" s="11">
        <v>0</v>
      </c>
      <c r="K7" s="64">
        <f t="shared" ref="K7:K27" si="0">SUM(D7:J7)</f>
        <v>1360375</v>
      </c>
      <c r="L7" s="2"/>
      <c r="M7" s="2"/>
      <c r="N7" s="3"/>
    </row>
    <row r="8" spans="2:14" x14ac:dyDescent="0.35">
      <c r="B8" t="s">
        <v>14</v>
      </c>
      <c r="C8" s="26">
        <v>3901</v>
      </c>
      <c r="D8" s="24">
        <v>3687800</v>
      </c>
      <c r="E8" s="11">
        <v>80000</v>
      </c>
      <c r="F8" s="11">
        <v>3000</v>
      </c>
      <c r="G8" s="11">
        <v>0</v>
      </c>
      <c r="H8" s="11">
        <v>5000</v>
      </c>
      <c r="I8" s="11">
        <v>18000</v>
      </c>
      <c r="J8" s="11">
        <v>0</v>
      </c>
      <c r="K8" s="64">
        <f t="shared" si="0"/>
        <v>3793800</v>
      </c>
      <c r="L8" s="2"/>
      <c r="M8" s="2"/>
      <c r="N8" s="3"/>
    </row>
    <row r="9" spans="2:14" x14ac:dyDescent="0.35">
      <c r="B9" t="s">
        <v>15</v>
      </c>
      <c r="C9" s="26">
        <v>3903</v>
      </c>
      <c r="D9" s="24">
        <v>2975360</v>
      </c>
      <c r="E9" s="11">
        <v>100000</v>
      </c>
      <c r="F9" s="11">
        <v>8000</v>
      </c>
      <c r="G9" s="11">
        <v>0</v>
      </c>
      <c r="H9" s="11">
        <v>10000</v>
      </c>
      <c r="I9" s="11">
        <v>65000</v>
      </c>
      <c r="J9" s="11">
        <v>0</v>
      </c>
      <c r="K9" s="64">
        <f t="shared" si="0"/>
        <v>3158360</v>
      </c>
      <c r="L9" s="2"/>
      <c r="M9" s="2"/>
      <c r="N9" s="3"/>
    </row>
    <row r="10" spans="2:14" x14ac:dyDescent="0.35">
      <c r="B10" t="s">
        <v>16</v>
      </c>
      <c r="C10" s="26">
        <v>3904</v>
      </c>
      <c r="D10" s="24">
        <v>659000</v>
      </c>
      <c r="E10" s="11">
        <v>10000</v>
      </c>
      <c r="F10" s="11">
        <v>5000</v>
      </c>
      <c r="G10" s="11">
        <v>0</v>
      </c>
      <c r="H10" s="11">
        <v>3000</v>
      </c>
      <c r="I10" s="11">
        <v>10000</v>
      </c>
      <c r="J10" s="11">
        <v>0</v>
      </c>
      <c r="K10" s="64">
        <f t="shared" si="0"/>
        <v>687000</v>
      </c>
      <c r="L10" s="2"/>
      <c r="M10" s="2"/>
      <c r="N10" s="3"/>
    </row>
    <row r="11" spans="2:14" x14ac:dyDescent="0.35">
      <c r="B11" t="s">
        <v>17</v>
      </c>
      <c r="C11" s="26">
        <v>3905</v>
      </c>
      <c r="D11" s="24">
        <v>1117862</v>
      </c>
      <c r="E11" s="11">
        <v>70000</v>
      </c>
      <c r="F11" s="11">
        <v>15000</v>
      </c>
      <c r="G11" s="11">
        <v>0</v>
      </c>
      <c r="H11" s="11">
        <v>5000</v>
      </c>
      <c r="I11" s="11">
        <v>8200</v>
      </c>
      <c r="J11" s="11">
        <v>0</v>
      </c>
      <c r="K11" s="64">
        <f t="shared" si="0"/>
        <v>1216062</v>
      </c>
      <c r="L11" s="2"/>
      <c r="M11" s="2"/>
      <c r="N11" s="3"/>
    </row>
    <row r="12" spans="2:14" x14ac:dyDescent="0.35">
      <c r="B12" t="s">
        <v>18</v>
      </c>
      <c r="C12" s="26">
        <v>3906</v>
      </c>
      <c r="D12" s="24">
        <v>1612804</v>
      </c>
      <c r="E12" s="11">
        <v>200000</v>
      </c>
      <c r="F12" s="11">
        <v>20000</v>
      </c>
      <c r="G12" s="11">
        <v>0</v>
      </c>
      <c r="H12" s="11">
        <v>1000</v>
      </c>
      <c r="I12" s="11">
        <v>250000</v>
      </c>
      <c r="J12" s="11">
        <v>0</v>
      </c>
      <c r="K12" s="64">
        <f t="shared" si="0"/>
        <v>2083804</v>
      </c>
      <c r="L12" s="2"/>
      <c r="M12" s="2"/>
      <c r="N12" s="3"/>
    </row>
    <row r="13" spans="2:14" x14ac:dyDescent="0.35">
      <c r="B13" s="4" t="s">
        <v>19</v>
      </c>
      <c r="C13" s="26">
        <v>3907</v>
      </c>
      <c r="D13" s="24">
        <v>4510684</v>
      </c>
      <c r="E13" s="11">
        <v>310000</v>
      </c>
      <c r="F13" s="11">
        <v>30000</v>
      </c>
      <c r="G13" s="11">
        <v>0</v>
      </c>
      <c r="H13" s="11">
        <v>20000</v>
      </c>
      <c r="I13" s="11">
        <v>115500</v>
      </c>
      <c r="J13" s="11">
        <v>0</v>
      </c>
      <c r="K13" s="64">
        <f t="shared" si="0"/>
        <v>4986184</v>
      </c>
      <c r="L13" s="2"/>
      <c r="M13" s="2"/>
      <c r="N13" s="3"/>
    </row>
    <row r="14" spans="2:14" x14ac:dyDescent="0.35">
      <c r="B14" t="s">
        <v>20</v>
      </c>
      <c r="C14" s="26">
        <v>3908</v>
      </c>
      <c r="D14" s="24">
        <v>2679044</v>
      </c>
      <c r="E14" s="11">
        <v>40000</v>
      </c>
      <c r="F14" s="11">
        <v>8000</v>
      </c>
      <c r="G14" s="11">
        <v>0</v>
      </c>
      <c r="H14" s="11">
        <v>0</v>
      </c>
      <c r="I14" s="11">
        <v>250000</v>
      </c>
      <c r="J14" s="11">
        <v>0</v>
      </c>
      <c r="K14" s="64">
        <f t="shared" si="0"/>
        <v>2977044</v>
      </c>
      <c r="L14" s="2"/>
      <c r="M14" s="2"/>
      <c r="N14" s="3"/>
    </row>
    <row r="15" spans="2:14" x14ac:dyDescent="0.35">
      <c r="B15" s="1" t="s">
        <v>49</v>
      </c>
      <c r="C15" s="60" t="s">
        <v>51</v>
      </c>
      <c r="D15" s="24">
        <v>3412075</v>
      </c>
      <c r="E15" s="11">
        <v>1110000</v>
      </c>
      <c r="F15" s="11">
        <v>10000</v>
      </c>
      <c r="G15" s="11">
        <v>0</v>
      </c>
      <c r="H15" s="11">
        <v>1575000</v>
      </c>
      <c r="I15" s="11">
        <v>1725000</v>
      </c>
      <c r="J15" s="11">
        <v>235969</v>
      </c>
      <c r="K15" s="64">
        <f t="shared" si="0"/>
        <v>8068044</v>
      </c>
      <c r="L15" s="2"/>
      <c r="M15" s="2"/>
      <c r="N15" s="3"/>
    </row>
    <row r="16" spans="2:14" x14ac:dyDescent="0.35">
      <c r="B16" s="1" t="s">
        <v>50</v>
      </c>
      <c r="C16" s="60" t="s">
        <v>52</v>
      </c>
      <c r="D16" s="24">
        <v>7066746</v>
      </c>
      <c r="E16" s="11">
        <v>1267000</v>
      </c>
      <c r="F16" s="11">
        <v>5000</v>
      </c>
      <c r="G16" s="11">
        <v>0</v>
      </c>
      <c r="H16" s="11">
        <v>200000</v>
      </c>
      <c r="I16" s="11">
        <v>685000</v>
      </c>
      <c r="J16" s="11">
        <v>0</v>
      </c>
      <c r="K16" s="64">
        <f t="shared" si="0"/>
        <v>9223746</v>
      </c>
      <c r="L16" s="2"/>
      <c r="M16" s="2"/>
      <c r="N16" s="3"/>
    </row>
    <row r="17" spans="2:20" x14ac:dyDescent="0.35">
      <c r="B17" s="1" t="s">
        <v>31</v>
      </c>
      <c r="C17" s="26">
        <v>3921</v>
      </c>
      <c r="D17" s="24">
        <v>0</v>
      </c>
      <c r="E17" s="11">
        <v>0</v>
      </c>
      <c r="F17" s="11">
        <v>0</v>
      </c>
      <c r="G17" s="29">
        <v>3800000</v>
      </c>
      <c r="H17" s="11">
        <v>0</v>
      </c>
      <c r="I17" s="11">
        <v>0</v>
      </c>
      <c r="J17" s="11">
        <v>0</v>
      </c>
      <c r="K17" s="64">
        <f t="shared" si="0"/>
        <v>3800000</v>
      </c>
      <c r="L17" s="2"/>
      <c r="M17" s="2"/>
      <c r="N17" s="3"/>
    </row>
    <row r="18" spans="2:20" x14ac:dyDescent="0.35">
      <c r="B18" s="1" t="s">
        <v>34</v>
      </c>
      <c r="C18" s="26">
        <v>3940</v>
      </c>
      <c r="D18" s="24">
        <v>0</v>
      </c>
      <c r="E18" s="11">
        <v>0</v>
      </c>
      <c r="F18" s="11">
        <v>0</v>
      </c>
      <c r="G18" s="11">
        <v>1150000</v>
      </c>
      <c r="H18" s="11">
        <v>0</v>
      </c>
      <c r="I18" s="11">
        <v>0</v>
      </c>
      <c r="J18" s="11">
        <v>0</v>
      </c>
      <c r="K18" s="64">
        <f t="shared" si="0"/>
        <v>1150000</v>
      </c>
      <c r="L18" s="2"/>
      <c r="M18" s="2"/>
      <c r="N18" s="3"/>
    </row>
    <row r="19" spans="2:20" x14ac:dyDescent="0.35">
      <c r="B19" s="1" t="s">
        <v>53</v>
      </c>
      <c r="C19" s="26">
        <v>3912</v>
      </c>
      <c r="D19" s="24">
        <v>3810000</v>
      </c>
      <c r="E19" s="11">
        <v>811000</v>
      </c>
      <c r="F19" s="11">
        <v>2000</v>
      </c>
      <c r="G19" s="11">
        <v>0</v>
      </c>
      <c r="H19" s="11">
        <v>1200000</v>
      </c>
      <c r="I19" s="11">
        <v>485000</v>
      </c>
      <c r="J19" s="11">
        <v>219302</v>
      </c>
      <c r="K19" s="64">
        <f t="shared" si="0"/>
        <v>6527302</v>
      </c>
      <c r="L19" s="2"/>
      <c r="M19" s="2"/>
      <c r="N19" s="3"/>
    </row>
    <row r="20" spans="2:20" x14ac:dyDescent="0.35">
      <c r="B20" s="1" t="s">
        <v>54</v>
      </c>
      <c r="C20" s="26">
        <v>3919</v>
      </c>
      <c r="D20" s="24">
        <v>3327000</v>
      </c>
      <c r="E20" s="11">
        <v>776000</v>
      </c>
      <c r="F20" s="11">
        <v>2000</v>
      </c>
      <c r="G20" s="11">
        <v>0</v>
      </c>
      <c r="H20" s="11">
        <v>30000</v>
      </c>
      <c r="I20" s="11">
        <v>886000</v>
      </c>
      <c r="J20" s="11">
        <v>0</v>
      </c>
      <c r="K20" s="64">
        <f t="shared" si="0"/>
        <v>5021000</v>
      </c>
      <c r="L20" s="2"/>
      <c r="M20" s="2"/>
      <c r="N20" s="3"/>
    </row>
    <row r="21" spans="2:20" x14ac:dyDescent="0.35">
      <c r="B21" s="1" t="s">
        <v>32</v>
      </c>
      <c r="C21" s="26">
        <v>3922</v>
      </c>
      <c r="D21" s="24">
        <v>0</v>
      </c>
      <c r="E21" s="11">
        <v>0</v>
      </c>
      <c r="F21" s="11">
        <v>0</v>
      </c>
      <c r="G21" s="29">
        <v>2800000</v>
      </c>
      <c r="H21" s="11">
        <v>0</v>
      </c>
      <c r="I21" s="11">
        <v>0</v>
      </c>
      <c r="J21" s="11">
        <v>0</v>
      </c>
      <c r="K21" s="64">
        <f t="shared" si="0"/>
        <v>2800000</v>
      </c>
      <c r="L21" s="2"/>
      <c r="M21" s="2"/>
      <c r="N21" s="3"/>
    </row>
    <row r="22" spans="2:20" x14ac:dyDescent="0.35">
      <c r="B22" s="4" t="s">
        <v>22</v>
      </c>
      <c r="C22" s="26">
        <v>3915</v>
      </c>
      <c r="D22" s="24">
        <v>672689</v>
      </c>
      <c r="E22" s="11">
        <v>22500</v>
      </c>
      <c r="F22" s="11">
        <v>6000</v>
      </c>
      <c r="G22" s="11">
        <v>63668</v>
      </c>
      <c r="H22" s="11">
        <v>34000</v>
      </c>
      <c r="I22" s="11">
        <v>21206</v>
      </c>
      <c r="J22" s="11">
        <v>0</v>
      </c>
      <c r="K22" s="64">
        <f t="shared" si="0"/>
        <v>820063</v>
      </c>
      <c r="L22" s="2"/>
      <c r="M22" s="2"/>
      <c r="N22" s="3"/>
    </row>
    <row r="23" spans="2:20" x14ac:dyDescent="0.35">
      <c r="B23" t="s">
        <v>23</v>
      </c>
      <c r="C23" s="26">
        <v>3917</v>
      </c>
      <c r="D23" s="24">
        <v>20000</v>
      </c>
      <c r="E23" s="11">
        <v>85000</v>
      </c>
      <c r="F23" s="11">
        <v>0</v>
      </c>
      <c r="G23" s="11">
        <v>140000</v>
      </c>
      <c r="H23" s="11">
        <v>80000</v>
      </c>
      <c r="I23" s="11">
        <v>5000</v>
      </c>
      <c r="J23" s="11">
        <v>0</v>
      </c>
      <c r="K23" s="64">
        <f t="shared" si="0"/>
        <v>330000</v>
      </c>
      <c r="L23" s="2"/>
      <c r="M23" s="2"/>
      <c r="N23" s="3"/>
    </row>
    <row r="24" spans="2:20" x14ac:dyDescent="0.35">
      <c r="B24" t="s">
        <v>24</v>
      </c>
      <c r="C24" s="26">
        <v>3918</v>
      </c>
      <c r="D24" s="24">
        <v>1060000</v>
      </c>
      <c r="E24" s="11">
        <v>110000</v>
      </c>
      <c r="F24" s="11">
        <v>4000</v>
      </c>
      <c r="G24" s="11">
        <v>0</v>
      </c>
      <c r="H24" s="11">
        <v>40000</v>
      </c>
      <c r="I24" s="11">
        <v>133500</v>
      </c>
      <c r="J24" s="11">
        <v>30222</v>
      </c>
      <c r="K24" s="64">
        <f t="shared" si="0"/>
        <v>1377722</v>
      </c>
      <c r="L24" s="2"/>
      <c r="M24" s="2"/>
      <c r="N24" s="3"/>
    </row>
    <row r="25" spans="2:20" x14ac:dyDescent="0.35">
      <c r="B25" t="s">
        <v>35</v>
      </c>
      <c r="C25" s="26">
        <v>3740</v>
      </c>
      <c r="D25" s="24">
        <v>3802470</v>
      </c>
      <c r="E25" s="11">
        <v>286200</v>
      </c>
      <c r="F25" s="11">
        <v>60000</v>
      </c>
      <c r="G25" s="11">
        <v>0</v>
      </c>
      <c r="H25" s="11">
        <v>5000</v>
      </c>
      <c r="I25" s="11">
        <v>227076</v>
      </c>
      <c r="J25" s="11">
        <v>38359</v>
      </c>
      <c r="K25" s="64">
        <f t="shared" si="0"/>
        <v>4419105</v>
      </c>
      <c r="L25" s="2"/>
      <c r="M25" s="2"/>
      <c r="N25" s="3"/>
    </row>
    <row r="26" spans="2:20" x14ac:dyDescent="0.35">
      <c r="B26" t="s">
        <v>25</v>
      </c>
      <c r="C26" s="26">
        <v>3960</v>
      </c>
      <c r="D26" s="24">
        <v>1430000</v>
      </c>
      <c r="E26" s="11">
        <v>55000</v>
      </c>
      <c r="F26" s="11">
        <v>30000</v>
      </c>
      <c r="G26" s="11">
        <v>0</v>
      </c>
      <c r="H26" s="11">
        <v>0</v>
      </c>
      <c r="I26" s="11">
        <v>40000</v>
      </c>
      <c r="J26" s="11">
        <v>0</v>
      </c>
      <c r="K26" s="64">
        <f t="shared" si="0"/>
        <v>1555000</v>
      </c>
      <c r="L26" s="2"/>
      <c r="M26" s="2"/>
      <c r="N26" s="3"/>
    </row>
    <row r="27" spans="2:20" ht="15" thickBot="1" x14ac:dyDescent="0.4">
      <c r="B27" t="s">
        <v>26</v>
      </c>
      <c r="C27" s="26">
        <v>3210</v>
      </c>
      <c r="D27" s="38">
        <v>3061983</v>
      </c>
      <c r="E27" s="39">
        <v>80000</v>
      </c>
      <c r="F27" s="39">
        <v>40000</v>
      </c>
      <c r="G27" s="39">
        <v>0</v>
      </c>
      <c r="H27" s="39">
        <v>10000</v>
      </c>
      <c r="I27" s="39">
        <v>10000</v>
      </c>
      <c r="J27" s="39">
        <v>0</v>
      </c>
      <c r="K27" s="65">
        <f t="shared" si="0"/>
        <v>3201983</v>
      </c>
      <c r="L27" s="2"/>
      <c r="M27" s="2"/>
      <c r="N27" s="3"/>
    </row>
    <row r="28" spans="2:20" x14ac:dyDescent="0.35">
      <c r="C28" s="26"/>
      <c r="D28" s="11"/>
      <c r="E28" s="11"/>
      <c r="F28" s="11"/>
      <c r="G28" s="11"/>
      <c r="H28" s="11"/>
      <c r="I28" s="11"/>
      <c r="J28" s="11"/>
      <c r="K28" s="29"/>
      <c r="L28" s="2"/>
      <c r="M28" s="2"/>
      <c r="N28" s="3"/>
    </row>
    <row r="29" spans="2:20" x14ac:dyDescent="0.35">
      <c r="C29" s="26"/>
      <c r="D29" s="27">
        <f t="shared" ref="D29:J29" si="1">SUM(D6:D27)</f>
        <v>55814938</v>
      </c>
      <c r="E29" s="27">
        <f t="shared" si="1"/>
        <v>5492100</v>
      </c>
      <c r="F29" s="27">
        <f t="shared" si="1"/>
        <v>289500</v>
      </c>
      <c r="G29" s="27">
        <f t="shared" si="1"/>
        <v>7953668</v>
      </c>
      <c r="H29" s="27">
        <f t="shared" si="1"/>
        <v>3231000</v>
      </c>
      <c r="I29" s="27">
        <f t="shared" si="1"/>
        <v>5501536</v>
      </c>
      <c r="J29" s="27">
        <f t="shared" si="1"/>
        <v>582311</v>
      </c>
      <c r="K29" s="27">
        <f>SUM(D29:J29)</f>
        <v>78865053</v>
      </c>
      <c r="L29" s="7"/>
      <c r="M29" s="7"/>
    </row>
    <row r="30" spans="2:20" x14ac:dyDescent="0.35">
      <c r="D30" s="61"/>
      <c r="E30" s="5"/>
      <c r="F30" s="6"/>
      <c r="G30" s="5"/>
      <c r="H30" s="6"/>
      <c r="I30" s="5"/>
      <c r="J30" s="6"/>
      <c r="K30" s="5"/>
      <c r="L30" s="31"/>
      <c r="M30" s="31"/>
      <c r="N30" s="6"/>
      <c r="O30" s="5"/>
      <c r="P30" s="7"/>
      <c r="Q30" s="7"/>
      <c r="R30" s="7"/>
      <c r="S30" s="7"/>
      <c r="T30" s="7"/>
    </row>
    <row r="31" spans="2:20" ht="15" thickBot="1" x14ac:dyDescent="0.4">
      <c r="D31" s="6"/>
      <c r="E31" s="5"/>
      <c r="F31" s="6"/>
      <c r="G31" s="5"/>
      <c r="H31" s="6"/>
      <c r="I31" s="5"/>
      <c r="J31" s="6"/>
      <c r="K31" s="5"/>
      <c r="L31" s="31"/>
      <c r="M31" s="31"/>
      <c r="N31" s="6"/>
      <c r="O31" s="5"/>
      <c r="P31" s="7"/>
      <c r="Q31" s="7"/>
      <c r="R31" s="7"/>
      <c r="S31" s="7"/>
      <c r="T31" s="7"/>
    </row>
    <row r="32" spans="2:20" ht="15" thickBot="1" x14ac:dyDescent="0.4">
      <c r="B32" s="8" t="s">
        <v>55</v>
      </c>
      <c r="C32" s="9"/>
      <c r="D32" s="10"/>
      <c r="F32" s="12" t="s">
        <v>56</v>
      </c>
      <c r="I32" s="13" t="s">
        <v>57</v>
      </c>
      <c r="K32" t="s">
        <v>66</v>
      </c>
      <c r="P32" s="3"/>
      <c r="Q32" s="3"/>
    </row>
    <row r="33" spans="2:17" x14ac:dyDescent="0.35">
      <c r="B33" s="14" t="s">
        <v>7</v>
      </c>
      <c r="C33" s="33"/>
      <c r="D33" s="35">
        <v>800000</v>
      </c>
      <c r="F33" s="32" t="s">
        <v>27</v>
      </c>
      <c r="G33" s="51">
        <v>78865053</v>
      </c>
      <c r="I33" s="32" t="s">
        <v>60</v>
      </c>
      <c r="J33" s="42">
        <v>61300000</v>
      </c>
      <c r="K33" s="29">
        <v>61300000</v>
      </c>
      <c r="O33" s="15"/>
      <c r="P33" s="3"/>
    </row>
    <row r="34" spans="2:17" x14ac:dyDescent="0.35">
      <c r="B34" s="16" t="s">
        <v>63</v>
      </c>
      <c r="C34" s="18"/>
      <c r="D34" s="35">
        <v>100000</v>
      </c>
      <c r="E34" s="3"/>
      <c r="F34" s="17" t="s">
        <v>41</v>
      </c>
      <c r="G34" s="44">
        <v>3000000</v>
      </c>
      <c r="I34" s="46" t="s">
        <v>61</v>
      </c>
      <c r="J34" s="44">
        <v>17313000</v>
      </c>
      <c r="K34" s="50">
        <f>J34+11084000</f>
        <v>28397000</v>
      </c>
      <c r="P34" s="18"/>
      <c r="Q34" s="3"/>
    </row>
    <row r="35" spans="2:17" ht="15" thickBot="1" x14ac:dyDescent="0.4">
      <c r="B35" s="16" t="s">
        <v>9</v>
      </c>
      <c r="C35" s="26"/>
      <c r="D35" s="35">
        <v>2100000</v>
      </c>
      <c r="F35" s="17" t="s">
        <v>30</v>
      </c>
      <c r="G35" s="57">
        <v>6747947</v>
      </c>
      <c r="H35" t="s">
        <v>43</v>
      </c>
      <c r="I35" s="17" t="s">
        <v>59</v>
      </c>
      <c r="J35" s="44">
        <v>10000000</v>
      </c>
      <c r="K35" s="50">
        <v>10000000</v>
      </c>
      <c r="P35" s="3"/>
    </row>
    <row r="36" spans="2:17" ht="15" thickBot="1" x14ac:dyDescent="0.4">
      <c r="B36" s="19" t="s">
        <v>10</v>
      </c>
      <c r="C36" s="20"/>
      <c r="D36" s="36">
        <f>SUM(D33:D35)</f>
        <v>3000000</v>
      </c>
      <c r="F36" s="21" t="s">
        <v>11</v>
      </c>
      <c r="G36" s="43">
        <f>G33+G34+G35</f>
        <v>88613000</v>
      </c>
      <c r="I36" s="21" t="s">
        <v>11</v>
      </c>
      <c r="J36" s="43">
        <f>J33+J34+J35</f>
        <v>88613000</v>
      </c>
      <c r="K36" s="50">
        <f>K33+K34+K35</f>
        <v>99697000</v>
      </c>
      <c r="P36" s="3"/>
    </row>
    <row r="37" spans="2:17" ht="101.25" customHeight="1" x14ac:dyDescent="0.35">
      <c r="E37" s="56" t="s">
        <v>43</v>
      </c>
      <c r="F37" s="592" t="s">
        <v>58</v>
      </c>
      <c r="G37" s="592"/>
      <c r="H37" s="58"/>
      <c r="I37" s="592"/>
      <c r="J37" s="592"/>
      <c r="K37" s="592"/>
      <c r="P37" s="3"/>
    </row>
    <row r="38" spans="2:17" ht="117" customHeight="1" x14ac:dyDescent="0.35">
      <c r="F38" s="593" t="s">
        <v>64</v>
      </c>
      <c r="G38" s="593"/>
      <c r="J38" s="50"/>
      <c r="P38" s="3"/>
    </row>
    <row r="39" spans="2:17" x14ac:dyDescent="0.35">
      <c r="G39" s="59"/>
      <c r="J39" s="50"/>
    </row>
  </sheetData>
  <mergeCells count="3">
    <mergeCell ref="F37:G37"/>
    <mergeCell ref="I37:K37"/>
    <mergeCell ref="F38:G38"/>
  </mergeCells>
  <pageMargins left="0.7" right="0.7" top="0.75" bottom="0.75" header="0.3" footer="0.3"/>
  <pageSetup paperSize="9" scale="51" orientation="landscape" r:id="rId1"/>
  <ignoredErrors>
    <ignoredError sqref="K6:K14 K17:K27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N25" sqref="N25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24" style="346" customWidth="1"/>
    <col min="4" max="4" width="18.453125" style="346" customWidth="1"/>
    <col min="5" max="16384" width="9.1796875" style="346"/>
  </cols>
  <sheetData>
    <row r="1" spans="1:6" ht="24" thickBot="1" x14ac:dyDescent="0.6">
      <c r="A1" s="207" t="s">
        <v>161</v>
      </c>
      <c r="B1" s="347"/>
      <c r="C1" s="347"/>
      <c r="D1" s="346" t="s">
        <v>162</v>
      </c>
    </row>
    <row r="2" spans="1:6" ht="19" thickBot="1" x14ac:dyDescent="0.5">
      <c r="A2" s="82" t="s">
        <v>111</v>
      </c>
      <c r="B2" s="239" t="s">
        <v>134</v>
      </c>
      <c r="C2" s="239" t="s">
        <v>163</v>
      </c>
      <c r="D2" s="240" t="s">
        <v>164</v>
      </c>
    </row>
    <row r="3" spans="1:6" ht="15" thickBot="1" x14ac:dyDescent="0.4">
      <c r="A3" s="203" t="s">
        <v>77</v>
      </c>
      <c r="B3" s="398"/>
      <c r="C3" s="398"/>
      <c r="D3" s="204"/>
    </row>
    <row r="4" spans="1:6" x14ac:dyDescent="0.35">
      <c r="A4" s="450" t="s">
        <v>78</v>
      </c>
      <c r="B4" s="211">
        <v>2368</v>
      </c>
      <c r="C4" s="225"/>
      <c r="D4" s="211">
        <v>2279.5500000000002</v>
      </c>
    </row>
    <row r="5" spans="1:6" x14ac:dyDescent="0.35">
      <c r="A5" s="226" t="s">
        <v>79</v>
      </c>
      <c r="B5" s="212">
        <v>200</v>
      </c>
      <c r="C5" s="226"/>
      <c r="D5" s="212">
        <v>250</v>
      </c>
    </row>
    <row r="6" spans="1:6" x14ac:dyDescent="0.35">
      <c r="A6" s="226" t="s">
        <v>80</v>
      </c>
      <c r="B6" s="212">
        <v>935</v>
      </c>
      <c r="C6" s="226"/>
      <c r="D6" s="212">
        <v>864</v>
      </c>
      <c r="F6" s="196"/>
    </row>
    <row r="7" spans="1:6" x14ac:dyDescent="0.35">
      <c r="A7" s="226" t="s">
        <v>81</v>
      </c>
      <c r="B7" s="212"/>
      <c r="C7" s="226"/>
      <c r="D7" s="213"/>
    </row>
    <row r="8" spans="1:6" x14ac:dyDescent="0.35">
      <c r="A8" s="226" t="s">
        <v>98</v>
      </c>
      <c r="B8" s="212"/>
      <c r="C8" s="226"/>
      <c r="D8" s="213"/>
    </row>
    <row r="9" spans="1:6" x14ac:dyDescent="0.35">
      <c r="A9" s="226" t="s">
        <v>82</v>
      </c>
      <c r="B9" s="212">
        <v>150</v>
      </c>
      <c r="C9" s="226"/>
      <c r="D9" s="212">
        <v>50</v>
      </c>
    </row>
    <row r="10" spans="1:6" x14ac:dyDescent="0.35">
      <c r="A10" s="226" t="s">
        <v>83</v>
      </c>
      <c r="B10" s="212">
        <v>93</v>
      </c>
      <c r="C10" s="226"/>
      <c r="D10" s="212">
        <v>115</v>
      </c>
    </row>
    <row r="11" spans="1:6" x14ac:dyDescent="0.35">
      <c r="A11" s="226" t="s">
        <v>84</v>
      </c>
      <c r="B11" s="212"/>
      <c r="C11" s="226"/>
      <c r="D11" s="212"/>
    </row>
    <row r="12" spans="1:6" ht="15" thickBot="1" x14ac:dyDescent="0.4">
      <c r="A12" s="227"/>
      <c r="B12" s="163"/>
      <c r="C12" s="227"/>
      <c r="D12" s="214"/>
    </row>
    <row r="13" spans="1:6" ht="15" thickBot="1" x14ac:dyDescent="0.4">
      <c r="A13" s="159" t="s">
        <v>85</v>
      </c>
      <c r="B13" s="215">
        <v>3746</v>
      </c>
      <c r="C13" s="215">
        <v>3646</v>
      </c>
      <c r="D13" s="215">
        <v>3558.55</v>
      </c>
    </row>
    <row r="14" spans="1:6" ht="15" thickBot="1" x14ac:dyDescent="0.4">
      <c r="A14" s="194"/>
      <c r="B14" s="95"/>
      <c r="C14" s="228"/>
      <c r="D14" s="195"/>
    </row>
    <row r="15" spans="1:6" ht="15" thickBot="1" x14ac:dyDescent="0.4">
      <c r="A15" s="160" t="s">
        <v>1</v>
      </c>
      <c r="B15" s="158"/>
      <c r="C15" s="253"/>
      <c r="D15" s="200"/>
    </row>
    <row r="16" spans="1:6" x14ac:dyDescent="0.35">
      <c r="A16" s="161" t="s">
        <v>86</v>
      </c>
      <c r="B16" s="216">
        <v>5</v>
      </c>
      <c r="C16" s="254"/>
      <c r="D16" s="216">
        <v>5</v>
      </c>
    </row>
    <row r="17" spans="1:6" x14ac:dyDescent="0.35">
      <c r="A17" s="162" t="s">
        <v>87</v>
      </c>
      <c r="B17" s="217">
        <v>5</v>
      </c>
      <c r="C17" s="255"/>
      <c r="D17" s="217">
        <v>5</v>
      </c>
    </row>
    <row r="18" spans="1:6" x14ac:dyDescent="0.35">
      <c r="A18" s="162" t="s">
        <v>88</v>
      </c>
      <c r="B18" s="217">
        <v>60</v>
      </c>
      <c r="C18" s="255"/>
      <c r="D18" s="217">
        <v>180</v>
      </c>
      <c r="F18" s="346" t="s">
        <v>188</v>
      </c>
    </row>
    <row r="19" spans="1:6" x14ac:dyDescent="0.35">
      <c r="A19" s="451" t="s">
        <v>89</v>
      </c>
      <c r="B19" s="165"/>
      <c r="C19" s="256"/>
      <c r="D19" s="218"/>
    </row>
    <row r="20" spans="1:6" ht="15" thickBot="1" x14ac:dyDescent="0.4">
      <c r="A20" s="451"/>
      <c r="B20" s="165"/>
      <c r="C20" s="256"/>
      <c r="D20" s="218"/>
    </row>
    <row r="21" spans="1:6" ht="15" thickBot="1" x14ac:dyDescent="0.4">
      <c r="A21" s="452" t="s">
        <v>85</v>
      </c>
      <c r="B21" s="269">
        <v>70</v>
      </c>
      <c r="C21" s="257">
        <v>15</v>
      </c>
      <c r="D21" s="269">
        <v>190</v>
      </c>
    </row>
    <row r="22" spans="1:6" ht="15" thickBot="1" x14ac:dyDescent="0.4">
      <c r="A22" s="194"/>
      <c r="B22" s="198"/>
      <c r="C22" s="258"/>
      <c r="D22" s="198"/>
    </row>
    <row r="23" spans="1:6" ht="15" thickBot="1" x14ac:dyDescent="0.4">
      <c r="A23" s="453" t="s">
        <v>2</v>
      </c>
      <c r="B23" s="98"/>
      <c r="C23" s="259"/>
      <c r="D23" s="206"/>
    </row>
    <row r="24" spans="1:6" ht="15" thickBot="1" x14ac:dyDescent="0.4">
      <c r="A24" s="454" t="s">
        <v>90</v>
      </c>
      <c r="B24" s="243">
        <v>5</v>
      </c>
      <c r="C24" s="260"/>
      <c r="D24" s="243">
        <v>5</v>
      </c>
    </row>
    <row r="25" spans="1:6" ht="15" thickBot="1" x14ac:dyDescent="0.4">
      <c r="A25" s="455" t="s">
        <v>85</v>
      </c>
      <c r="B25" s="169">
        <v>5</v>
      </c>
      <c r="C25" s="261">
        <v>0</v>
      </c>
      <c r="D25" s="169">
        <v>5</v>
      </c>
    </row>
    <row r="26" spans="1:6" x14ac:dyDescent="0.35">
      <c r="A26" s="194"/>
      <c r="B26" s="198"/>
      <c r="C26" s="258"/>
      <c r="D26" s="198"/>
    </row>
    <row r="27" spans="1:6" ht="15" thickBot="1" x14ac:dyDescent="0.4">
      <c r="A27" s="194"/>
      <c r="B27" s="198"/>
      <c r="C27" s="258"/>
      <c r="D27" s="198"/>
    </row>
    <row r="28" spans="1:6" ht="15" thickBot="1" x14ac:dyDescent="0.4">
      <c r="A28" s="456" t="s">
        <v>91</v>
      </c>
      <c r="B28" s="99"/>
      <c r="C28" s="262"/>
      <c r="D28" s="208"/>
    </row>
    <row r="29" spans="1:6" ht="15" thickBot="1" x14ac:dyDescent="0.4">
      <c r="A29" s="457" t="s">
        <v>92</v>
      </c>
      <c r="B29" s="246">
        <v>5</v>
      </c>
      <c r="C29" s="263">
        <v>2</v>
      </c>
      <c r="D29" s="246">
        <v>5</v>
      </c>
    </row>
    <row r="30" spans="1:6" ht="15" thickBot="1" x14ac:dyDescent="0.4">
      <c r="A30" s="458" t="s">
        <v>85</v>
      </c>
      <c r="B30" s="170">
        <v>5</v>
      </c>
      <c r="C30" s="264">
        <v>2</v>
      </c>
      <c r="D30" s="170">
        <v>5</v>
      </c>
    </row>
    <row r="31" spans="1:6" ht="15" thickBot="1" x14ac:dyDescent="0.4">
      <c r="A31" s="194"/>
      <c r="B31" s="198"/>
      <c r="C31" s="258"/>
      <c r="D31" s="198"/>
    </row>
    <row r="32" spans="1:6" ht="15" thickBot="1" x14ac:dyDescent="0.4">
      <c r="A32" s="459" t="s">
        <v>3</v>
      </c>
      <c r="B32" s="460"/>
      <c r="C32" s="343"/>
      <c r="D32" s="241"/>
    </row>
    <row r="33" spans="1:4" ht="15" thickBot="1" x14ac:dyDescent="0.4">
      <c r="A33" s="461" t="s">
        <v>85</v>
      </c>
      <c r="B33" s="409">
        <v>0</v>
      </c>
      <c r="C33" s="409">
        <v>0</v>
      </c>
      <c r="D33" s="409">
        <v>0</v>
      </c>
    </row>
    <row r="34" spans="1:4" ht="15" thickBot="1" x14ac:dyDescent="0.4">
      <c r="A34" s="194"/>
      <c r="B34" s="198"/>
      <c r="C34" s="258"/>
      <c r="D34" s="201"/>
    </row>
    <row r="35" spans="1:4" ht="15" thickBot="1" x14ac:dyDescent="0.4">
      <c r="A35" s="462" t="s">
        <v>5</v>
      </c>
      <c r="B35" s="102"/>
      <c r="C35" s="265"/>
      <c r="D35" s="210"/>
    </row>
    <row r="36" spans="1:4" x14ac:dyDescent="0.35">
      <c r="A36" s="463" t="s">
        <v>93</v>
      </c>
      <c r="B36" s="219"/>
      <c r="C36" s="266"/>
      <c r="D36" s="219"/>
    </row>
    <row r="37" spans="1:4" x14ac:dyDescent="0.35">
      <c r="A37" s="344" t="s">
        <v>94</v>
      </c>
      <c r="B37" s="220"/>
      <c r="C37" s="267"/>
      <c r="D37" s="220"/>
    </row>
    <row r="38" spans="1:4" x14ac:dyDescent="0.35">
      <c r="A38" s="344" t="s">
        <v>95</v>
      </c>
      <c r="B38" s="220"/>
      <c r="C38" s="267"/>
      <c r="D38" s="221"/>
    </row>
    <row r="39" spans="1:4" x14ac:dyDescent="0.35">
      <c r="A39" s="344" t="s">
        <v>96</v>
      </c>
      <c r="B39" s="220"/>
      <c r="C39" s="267"/>
      <c r="D39" s="221"/>
    </row>
    <row r="40" spans="1:4" x14ac:dyDescent="0.35">
      <c r="A40" s="344" t="s">
        <v>97</v>
      </c>
      <c r="B40" s="220"/>
      <c r="C40" s="267"/>
      <c r="D40" s="221"/>
    </row>
    <row r="41" spans="1:4" ht="15" thickBot="1" x14ac:dyDescent="0.4">
      <c r="A41" s="464" t="s">
        <v>99</v>
      </c>
      <c r="B41" s="166">
        <v>20</v>
      </c>
      <c r="C41" s="93">
        <v>11</v>
      </c>
      <c r="D41" s="465">
        <v>20</v>
      </c>
    </row>
    <row r="42" spans="1:4" ht="15" thickBot="1" x14ac:dyDescent="0.4">
      <c r="A42" s="466" t="s">
        <v>85</v>
      </c>
      <c r="B42" s="341">
        <v>20</v>
      </c>
      <c r="C42" s="94">
        <v>11</v>
      </c>
      <c r="D42" s="341">
        <v>20</v>
      </c>
    </row>
    <row r="43" spans="1:4" ht="15" thickBot="1" x14ac:dyDescent="0.4">
      <c r="A43" s="249"/>
      <c r="B43" s="168"/>
      <c r="C43" s="250"/>
      <c r="D43" s="251"/>
    </row>
    <row r="44" spans="1:4" ht="19" thickBot="1" x14ac:dyDescent="0.5">
      <c r="A44" s="391" t="s">
        <v>10</v>
      </c>
      <c r="B44" s="223">
        <v>3846</v>
      </c>
      <c r="C44" s="252">
        <v>3674</v>
      </c>
      <c r="D44" s="223">
        <v>3778.55</v>
      </c>
    </row>
    <row r="45" spans="1:4" x14ac:dyDescent="0.35">
      <c r="A45" s="396"/>
      <c r="B45" s="396"/>
      <c r="C45" s="396"/>
      <c r="D45" s="396"/>
    </row>
    <row r="46" spans="1:4" x14ac:dyDescent="0.35">
      <c r="A46" s="197"/>
      <c r="B46" s="197"/>
      <c r="C46" s="197"/>
      <c r="D46" s="396"/>
    </row>
    <row r="47" spans="1:4" x14ac:dyDescent="0.35">
      <c r="A47" s="396"/>
      <c r="B47" s="396"/>
      <c r="C47" s="396"/>
      <c r="D47" s="396"/>
    </row>
    <row r="48" spans="1:4" x14ac:dyDescent="0.35">
      <c r="A48" s="396"/>
      <c r="B48" s="396"/>
      <c r="C48" s="396"/>
      <c r="D48" s="396"/>
    </row>
    <row r="49" spans="1:4" x14ac:dyDescent="0.35">
      <c r="A49" s="396"/>
      <c r="B49" s="396"/>
      <c r="C49" s="396"/>
      <c r="D49" s="396"/>
    </row>
    <row r="50" spans="1:4" x14ac:dyDescent="0.35">
      <c r="A50" s="396"/>
      <c r="B50" s="396"/>
      <c r="C50" s="396"/>
      <c r="D50" s="396"/>
    </row>
  </sheetData>
  <pageMargins left="0.70866141732283472" right="0.70866141732283472" top="0.78740157480314965" bottom="0.78740157480314965" header="0.31496062992125984" footer="0.31496062992125984"/>
  <pageSetup paperSize="9" scale="87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34"/>
  <sheetViews>
    <sheetView tabSelected="1" topLeftCell="B16" workbookViewId="0">
      <selection activeCell="H24" sqref="H24"/>
    </sheetView>
  </sheetViews>
  <sheetFormatPr defaultRowHeight="14.5" x14ac:dyDescent="0.35"/>
  <cols>
    <col min="1" max="1" width="0" hidden="1" customWidth="1"/>
    <col min="2" max="2" width="38.81640625" customWidth="1"/>
    <col min="3" max="3" width="13.81640625" customWidth="1"/>
    <col min="4" max="10" width="11.7265625" customWidth="1"/>
    <col min="11" max="11" width="11.7265625" style="346" customWidth="1"/>
    <col min="12" max="13" width="11.7265625" customWidth="1"/>
    <col min="14" max="14" width="15" style="4" customWidth="1"/>
    <col min="15" max="15" width="14.81640625" style="4" customWidth="1"/>
    <col min="16" max="16" width="17.26953125" customWidth="1"/>
    <col min="17" max="17" width="16" customWidth="1"/>
    <col min="18" max="18" width="16.1796875" customWidth="1"/>
    <col min="19" max="19" width="14.54296875" customWidth="1"/>
    <col min="20" max="20" width="8" customWidth="1"/>
    <col min="21" max="21" width="7.453125" customWidth="1"/>
    <col min="22" max="22" width="15.1796875" customWidth="1"/>
    <col min="25" max="25" width="16" bestFit="1" customWidth="1"/>
    <col min="26" max="26" width="15.1796875" customWidth="1"/>
  </cols>
  <sheetData>
    <row r="1" spans="2:17" ht="15" customHeight="1" x14ac:dyDescent="0.5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P1" s="4"/>
    </row>
    <row r="2" spans="2:17" ht="21" x14ac:dyDescent="0.5">
      <c r="B2" s="597" t="s">
        <v>152</v>
      </c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</row>
    <row r="3" spans="2:17" ht="11.25" customHeight="1" thickBot="1" x14ac:dyDescent="0.5500000000000000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2:17" s="71" customFormat="1" ht="44" thickBot="1" x14ac:dyDescent="0.45">
      <c r="B4" s="598" t="s">
        <v>70</v>
      </c>
      <c r="C4" s="599"/>
      <c r="D4" s="125" t="s">
        <v>71</v>
      </c>
      <c r="E4" s="125" t="s">
        <v>1</v>
      </c>
      <c r="F4" s="125" t="s">
        <v>2</v>
      </c>
      <c r="G4" s="125" t="s">
        <v>3</v>
      </c>
      <c r="H4" s="125" t="s">
        <v>4</v>
      </c>
      <c r="I4" s="125" t="s">
        <v>5</v>
      </c>
      <c r="J4" s="125" t="s">
        <v>13</v>
      </c>
      <c r="K4" s="125" t="s">
        <v>150</v>
      </c>
      <c r="L4" s="125" t="s">
        <v>75</v>
      </c>
      <c r="M4" s="125" t="s">
        <v>106</v>
      </c>
      <c r="N4" s="125" t="s">
        <v>73</v>
      </c>
      <c r="O4" s="125" t="s">
        <v>74</v>
      </c>
      <c r="P4" s="126" t="s">
        <v>153</v>
      </c>
    </row>
    <row r="5" spans="2:17" x14ac:dyDescent="0.35">
      <c r="B5" s="127" t="s">
        <v>6</v>
      </c>
      <c r="C5" s="131">
        <v>3900</v>
      </c>
      <c r="D5" s="70">
        <v>11666</v>
      </c>
      <c r="E5" s="70">
        <v>200</v>
      </c>
      <c r="F5" s="70">
        <v>50</v>
      </c>
      <c r="G5" s="70"/>
      <c r="H5" s="70">
        <v>50</v>
      </c>
      <c r="I5" s="70">
        <v>750</v>
      </c>
      <c r="J5" s="70">
        <v>300</v>
      </c>
      <c r="K5" s="492"/>
      <c r="L5" s="188">
        <f>SUM(D5:J5)</f>
        <v>13016</v>
      </c>
      <c r="M5" s="149">
        <f>L5-P5</f>
        <v>273</v>
      </c>
      <c r="N5" s="143"/>
      <c r="O5" s="139"/>
      <c r="P5" s="181">
        <v>12743</v>
      </c>
    </row>
    <row r="6" spans="2:17" x14ac:dyDescent="0.35">
      <c r="B6" s="128" t="s">
        <v>14</v>
      </c>
      <c r="C6" s="132">
        <v>3901</v>
      </c>
      <c r="D6" s="136">
        <v>5100</v>
      </c>
      <c r="E6" s="136">
        <v>45</v>
      </c>
      <c r="F6" s="136">
        <v>2</v>
      </c>
      <c r="G6" s="136"/>
      <c r="H6" s="136">
        <v>3</v>
      </c>
      <c r="I6" s="136">
        <v>13</v>
      </c>
      <c r="J6" s="136"/>
      <c r="K6" s="493"/>
      <c r="L6" s="189">
        <f t="shared" ref="L6:L12" si="0">SUM(D6:J6)</f>
        <v>5163</v>
      </c>
      <c r="M6" s="150">
        <f>L6-P6</f>
        <v>407</v>
      </c>
      <c r="N6" s="144"/>
      <c r="O6" s="140"/>
      <c r="P6" s="182">
        <v>4756</v>
      </c>
    </row>
    <row r="7" spans="2:17" x14ac:dyDescent="0.35">
      <c r="B7" s="128" t="s">
        <v>15</v>
      </c>
      <c r="C7" s="132">
        <v>3903</v>
      </c>
      <c r="D7" s="136">
        <v>3593</v>
      </c>
      <c r="E7" s="136">
        <v>140</v>
      </c>
      <c r="F7" s="136">
        <v>20</v>
      </c>
      <c r="G7" s="136"/>
      <c r="H7" s="136">
        <v>5</v>
      </c>
      <c r="I7" s="136">
        <v>58</v>
      </c>
      <c r="J7" s="136"/>
      <c r="K7" s="493"/>
      <c r="L7" s="189">
        <f t="shared" si="0"/>
        <v>3816</v>
      </c>
      <c r="M7" s="150">
        <f>L7-P7</f>
        <v>-449.42740000000049</v>
      </c>
      <c r="N7" s="144"/>
      <c r="O7" s="140"/>
      <c r="P7" s="182">
        <v>4265.4274000000005</v>
      </c>
    </row>
    <row r="8" spans="2:17" x14ac:dyDescent="0.35">
      <c r="B8" s="128" t="s">
        <v>16</v>
      </c>
      <c r="C8" s="132">
        <v>3904</v>
      </c>
      <c r="D8" s="136">
        <v>1127</v>
      </c>
      <c r="E8" s="136">
        <v>40</v>
      </c>
      <c r="F8" s="136">
        <v>3</v>
      </c>
      <c r="G8" s="136"/>
      <c r="H8" s="136"/>
      <c r="I8" s="136">
        <v>25</v>
      </c>
      <c r="J8" s="136"/>
      <c r="K8" s="493"/>
      <c r="L8" s="189">
        <f t="shared" si="0"/>
        <v>1195</v>
      </c>
      <c r="M8" s="150"/>
      <c r="N8" s="144"/>
      <c r="O8" s="140"/>
      <c r="P8" s="182">
        <v>1544</v>
      </c>
      <c r="Q8" t="s">
        <v>171</v>
      </c>
    </row>
    <row r="9" spans="2:17" x14ac:dyDescent="0.35">
      <c r="B9" s="128" t="s">
        <v>17</v>
      </c>
      <c r="C9" s="132">
        <v>3905</v>
      </c>
      <c r="D9" s="137">
        <v>1349</v>
      </c>
      <c r="E9" s="137">
        <v>40</v>
      </c>
      <c r="F9" s="136">
        <v>10</v>
      </c>
      <c r="G9" s="136"/>
      <c r="H9" s="136"/>
      <c r="I9" s="136">
        <v>15</v>
      </c>
      <c r="J9" s="136"/>
      <c r="K9" s="493"/>
      <c r="L9" s="189">
        <f t="shared" si="0"/>
        <v>1414</v>
      </c>
      <c r="M9" s="150"/>
      <c r="N9" s="144"/>
      <c r="O9" s="140"/>
      <c r="P9" s="182">
        <v>1055</v>
      </c>
      <c r="Q9" t="s">
        <v>172</v>
      </c>
    </row>
    <row r="10" spans="2:17" x14ac:dyDescent="0.35">
      <c r="B10" s="128" t="s">
        <v>18</v>
      </c>
      <c r="C10" s="132">
        <v>3906</v>
      </c>
      <c r="D10" s="136">
        <v>1998</v>
      </c>
      <c r="E10" s="136">
        <v>170</v>
      </c>
      <c r="F10" s="136">
        <v>20</v>
      </c>
      <c r="G10" s="136"/>
      <c r="H10" s="136">
        <v>5</v>
      </c>
      <c r="I10" s="136">
        <v>199</v>
      </c>
      <c r="J10" s="136"/>
      <c r="K10" s="493"/>
      <c r="L10" s="189">
        <f t="shared" si="0"/>
        <v>2392</v>
      </c>
      <c r="M10" s="150">
        <f t="shared" ref="M10:M14" si="1">L10-P10</f>
        <v>-34</v>
      </c>
      <c r="N10" s="144"/>
      <c r="O10" s="140"/>
      <c r="P10" s="182">
        <v>2426</v>
      </c>
    </row>
    <row r="11" spans="2:17" x14ac:dyDescent="0.35">
      <c r="B11" s="128" t="s">
        <v>19</v>
      </c>
      <c r="C11" s="132">
        <v>3907</v>
      </c>
      <c r="D11" s="136">
        <v>6408</v>
      </c>
      <c r="E11" s="136">
        <v>100</v>
      </c>
      <c r="F11" s="136">
        <v>10</v>
      </c>
      <c r="G11" s="136"/>
      <c r="H11" s="136"/>
      <c r="I11" s="136">
        <v>52</v>
      </c>
      <c r="J11" s="136"/>
      <c r="K11" s="493"/>
      <c r="L11" s="189">
        <f t="shared" si="0"/>
        <v>6570</v>
      </c>
      <c r="M11" s="150">
        <f t="shared" si="1"/>
        <v>269</v>
      </c>
      <c r="N11" s="144"/>
      <c r="O11" s="140"/>
      <c r="P11" s="182">
        <v>6301</v>
      </c>
    </row>
    <row r="12" spans="2:17" x14ac:dyDescent="0.35">
      <c r="B12" s="128" t="s">
        <v>20</v>
      </c>
      <c r="C12" s="132">
        <v>3908</v>
      </c>
      <c r="D12" s="136">
        <v>1003</v>
      </c>
      <c r="E12" s="136">
        <v>30</v>
      </c>
      <c r="F12" s="136">
        <v>3</v>
      </c>
      <c r="G12" s="136"/>
      <c r="H12" s="136">
        <v>5</v>
      </c>
      <c r="I12" s="136">
        <v>20</v>
      </c>
      <c r="J12" s="136"/>
      <c r="K12" s="493"/>
      <c r="L12" s="189">
        <f t="shared" si="0"/>
        <v>1061</v>
      </c>
      <c r="M12" s="150">
        <f t="shared" si="1"/>
        <v>-807</v>
      </c>
      <c r="N12" s="144"/>
      <c r="O12" s="140"/>
      <c r="P12" s="182">
        <v>1868</v>
      </c>
    </row>
    <row r="13" spans="2:17" x14ac:dyDescent="0.35">
      <c r="B13" s="129" t="s">
        <v>116</v>
      </c>
      <c r="C13" s="133">
        <v>3911</v>
      </c>
      <c r="D13" s="136">
        <v>5180</v>
      </c>
      <c r="E13" s="136">
        <v>1635</v>
      </c>
      <c r="F13" s="136">
        <v>10</v>
      </c>
      <c r="G13" s="136">
        <v>14000</v>
      </c>
      <c r="H13" s="136">
        <v>3225</v>
      </c>
      <c r="I13" s="136">
        <v>1900</v>
      </c>
      <c r="J13" s="136">
        <v>200</v>
      </c>
      <c r="K13" s="493">
        <v>-8000</v>
      </c>
      <c r="L13" s="189">
        <f>SUM(D13:K13)</f>
        <v>18150</v>
      </c>
      <c r="M13" s="150">
        <f t="shared" si="1"/>
        <v>1993.6486557999997</v>
      </c>
      <c r="N13" s="144"/>
      <c r="O13" s="140"/>
      <c r="P13" s="182">
        <v>16156.3513442</v>
      </c>
      <c r="Q13" s="146"/>
    </row>
    <row r="14" spans="2:17" x14ac:dyDescent="0.35">
      <c r="B14" s="129" t="s">
        <v>117</v>
      </c>
      <c r="C14" s="134">
        <v>3912</v>
      </c>
      <c r="D14" s="136">
        <v>5955</v>
      </c>
      <c r="E14" s="136">
        <v>2545</v>
      </c>
      <c r="F14" s="136">
        <v>5</v>
      </c>
      <c r="G14" s="136">
        <v>6000</v>
      </c>
      <c r="H14" s="136">
        <v>2650</v>
      </c>
      <c r="I14" s="136">
        <v>1007</v>
      </c>
      <c r="J14" s="136">
        <v>300</v>
      </c>
      <c r="K14" s="493">
        <v>-4000</v>
      </c>
      <c r="L14" s="189">
        <f>SUM(D14:K14)</f>
        <v>14462</v>
      </c>
      <c r="M14" s="150">
        <f t="shared" si="1"/>
        <v>1230</v>
      </c>
      <c r="N14" s="144"/>
      <c r="O14" s="140"/>
      <c r="P14" s="182">
        <v>13232</v>
      </c>
      <c r="Q14" s="146"/>
    </row>
    <row r="15" spans="2:17" x14ac:dyDescent="0.35">
      <c r="B15" s="129" t="s">
        <v>108</v>
      </c>
      <c r="C15" s="132">
        <v>3913</v>
      </c>
      <c r="D15" s="136">
        <v>18087</v>
      </c>
      <c r="E15" s="136">
        <v>2210</v>
      </c>
      <c r="F15" s="136"/>
      <c r="G15" s="136"/>
      <c r="H15" s="136">
        <v>80</v>
      </c>
      <c r="I15" s="136">
        <v>3105</v>
      </c>
      <c r="J15" s="136">
        <v>250</v>
      </c>
      <c r="K15" s="493"/>
      <c r="L15" s="189">
        <f t="shared" ref="L15" si="2">SUM(D15:J15)</f>
        <v>23732</v>
      </c>
      <c r="M15" s="150">
        <f>L15-P15</f>
        <v>1258</v>
      </c>
      <c r="N15" s="144"/>
      <c r="O15" s="140"/>
      <c r="P15" s="182">
        <v>22474</v>
      </c>
      <c r="Q15" s="146"/>
    </row>
    <row r="16" spans="2:17" x14ac:dyDescent="0.35">
      <c r="B16" s="128" t="s">
        <v>22</v>
      </c>
      <c r="C16" s="132">
        <v>3915</v>
      </c>
      <c r="D16" s="136">
        <v>1553</v>
      </c>
      <c r="E16" s="136">
        <v>18</v>
      </c>
      <c r="F16" s="136">
        <v>7</v>
      </c>
      <c r="G16" s="136">
        <v>70</v>
      </c>
      <c r="H16" s="136"/>
      <c r="I16" s="136">
        <v>26</v>
      </c>
      <c r="J16" s="136"/>
      <c r="K16" s="493"/>
      <c r="L16" s="189">
        <f>SUM(D16:J16)</f>
        <v>1674</v>
      </c>
      <c r="M16" s="150">
        <f>L16-P16</f>
        <v>233</v>
      </c>
      <c r="N16" s="144"/>
      <c r="O16" s="140"/>
      <c r="P16" s="182">
        <v>1441</v>
      </c>
    </row>
    <row r="17" spans="2:22" x14ac:dyDescent="0.35">
      <c r="B17" s="128" t="s">
        <v>35</v>
      </c>
      <c r="C17" s="132">
        <v>3740</v>
      </c>
      <c r="D17" s="136">
        <v>5935</v>
      </c>
      <c r="E17" s="136">
        <v>460</v>
      </c>
      <c r="F17" s="136">
        <v>40</v>
      </c>
      <c r="G17" s="136"/>
      <c r="H17" s="136">
        <v>130</v>
      </c>
      <c r="I17" s="136">
        <v>208</v>
      </c>
      <c r="J17" s="136">
        <v>140</v>
      </c>
      <c r="K17" s="493"/>
      <c r="L17" s="189">
        <f>SUM(D17:J17)</f>
        <v>6913</v>
      </c>
      <c r="M17" s="150">
        <f>L17-P17</f>
        <v>1481</v>
      </c>
      <c r="N17" s="144"/>
      <c r="O17" s="140"/>
      <c r="P17" s="182">
        <v>5432</v>
      </c>
    </row>
    <row r="18" spans="2:22" x14ac:dyDescent="0.35">
      <c r="B18" s="128" t="s">
        <v>25</v>
      </c>
      <c r="C18" s="132">
        <v>3960</v>
      </c>
      <c r="D18" s="136">
        <v>1915</v>
      </c>
      <c r="E18" s="136">
        <v>45</v>
      </c>
      <c r="F18" s="136">
        <v>60</v>
      </c>
      <c r="G18" s="136"/>
      <c r="H18" s="136">
        <v>5</v>
      </c>
      <c r="I18" s="136">
        <v>15</v>
      </c>
      <c r="J18" s="136"/>
      <c r="K18" s="493"/>
      <c r="L18" s="189">
        <f>SUM(D18:J18)</f>
        <v>2040</v>
      </c>
      <c r="M18" s="150">
        <f t="shared" ref="M18" si="3">L18-P18</f>
        <v>76</v>
      </c>
      <c r="N18" s="144"/>
      <c r="O18" s="140"/>
      <c r="P18" s="182">
        <v>1964</v>
      </c>
    </row>
    <row r="19" spans="2:22" ht="15" thickBot="1" x14ac:dyDescent="0.4">
      <c r="B19" s="130" t="s">
        <v>26</v>
      </c>
      <c r="C19" s="135">
        <v>3210</v>
      </c>
      <c r="D19" s="138">
        <v>3559</v>
      </c>
      <c r="E19" s="138">
        <v>190</v>
      </c>
      <c r="F19" s="138">
        <v>5</v>
      </c>
      <c r="G19" s="138"/>
      <c r="H19" s="138">
        <v>5</v>
      </c>
      <c r="I19" s="138">
        <v>20</v>
      </c>
      <c r="J19" s="138"/>
      <c r="K19" s="494"/>
      <c r="L19" s="190">
        <f>SUM(D19:J19)</f>
        <v>3779</v>
      </c>
      <c r="M19" s="148">
        <f>L19-P19</f>
        <v>-67</v>
      </c>
      <c r="N19" s="145"/>
      <c r="O19" s="141"/>
      <c r="P19" s="183">
        <v>3846</v>
      </c>
    </row>
    <row r="20" spans="2:22" ht="15" thickBot="1" x14ac:dyDescent="0.4">
      <c r="B20" s="417" t="s">
        <v>72</v>
      </c>
      <c r="C20" s="418"/>
      <c r="D20" s="119">
        <f>SUM(D5:D19)</f>
        <v>74428</v>
      </c>
      <c r="E20" s="119">
        <f t="shared" ref="E20:K20" si="4">SUM(E5:E19)</f>
        <v>7868</v>
      </c>
      <c r="F20" s="119">
        <f t="shared" si="4"/>
        <v>245</v>
      </c>
      <c r="G20" s="119">
        <f t="shared" si="4"/>
        <v>20070</v>
      </c>
      <c r="H20" s="119">
        <f t="shared" si="4"/>
        <v>6163</v>
      </c>
      <c r="I20" s="119">
        <f t="shared" si="4"/>
        <v>7413</v>
      </c>
      <c r="J20" s="119">
        <f t="shared" si="4"/>
        <v>1190</v>
      </c>
      <c r="K20" s="119">
        <f t="shared" si="4"/>
        <v>-12000</v>
      </c>
      <c r="L20" s="119">
        <f>SUM(L5:L19)</f>
        <v>105377</v>
      </c>
      <c r="M20" s="411">
        <f>SUM(M5:M19)</f>
        <v>5863.2212557999992</v>
      </c>
      <c r="N20" s="142"/>
      <c r="O20" s="142"/>
      <c r="P20" s="117">
        <f>SUM(P5:P19)</f>
        <v>99503.778744199997</v>
      </c>
    </row>
    <row r="21" spans="2:22" x14ac:dyDescent="0.35">
      <c r="B21" s="68"/>
      <c r="C21" s="69"/>
      <c r="M21" s="412">
        <f>L20-P20</f>
        <v>5873.2212558000028</v>
      </c>
      <c r="N21" s="7"/>
      <c r="O21" s="80"/>
      <c r="P21" s="50"/>
    </row>
    <row r="22" spans="2:22" x14ac:dyDescent="0.35"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31"/>
      <c r="O22" s="31"/>
      <c r="P22" s="6"/>
      <c r="Q22" s="5"/>
      <c r="R22" s="7"/>
      <c r="S22" s="7"/>
      <c r="T22" s="7"/>
      <c r="U22" s="7"/>
      <c r="V22" s="7"/>
    </row>
    <row r="23" spans="2:22" ht="15" thickBot="1" x14ac:dyDescent="0.4">
      <c r="D23" s="6"/>
      <c r="E23" s="6"/>
      <c r="F23" s="6"/>
      <c r="G23" s="6"/>
      <c r="H23" s="6"/>
      <c r="I23" s="6"/>
      <c r="J23" s="6"/>
      <c r="K23" s="6"/>
      <c r="L23" s="6"/>
      <c r="M23" s="6"/>
      <c r="N23" s="31"/>
      <c r="O23" s="31"/>
      <c r="P23" s="6"/>
      <c r="Q23" s="5"/>
      <c r="R23" s="7"/>
      <c r="S23" s="7"/>
      <c r="T23" s="7"/>
      <c r="U23" s="7"/>
      <c r="V23" s="7"/>
    </row>
    <row r="24" spans="2:22" ht="15" thickBot="1" x14ac:dyDescent="0.4">
      <c r="B24" s="8" t="s">
        <v>109</v>
      </c>
      <c r="C24" s="73" t="s">
        <v>68</v>
      </c>
      <c r="E24" s="595" t="s">
        <v>154</v>
      </c>
      <c r="F24" s="596"/>
      <c r="G24" s="11"/>
      <c r="H24" s="11"/>
      <c r="I24" s="595" t="s">
        <v>155</v>
      </c>
      <c r="J24" s="596"/>
      <c r="K24" s="11"/>
      <c r="L24" s="11"/>
      <c r="M24" s="4"/>
      <c r="O24"/>
      <c r="Q24" s="3"/>
      <c r="R24" s="3"/>
    </row>
    <row r="25" spans="2:22" x14ac:dyDescent="0.35">
      <c r="B25" s="14" t="s">
        <v>7</v>
      </c>
      <c r="C25" s="433">
        <v>800</v>
      </c>
      <c r="E25" s="32" t="s">
        <v>219</v>
      </c>
      <c r="F25" s="74"/>
      <c r="G25" s="51">
        <f>L20</f>
        <v>105377</v>
      </c>
      <c r="H25" s="11"/>
      <c r="I25" s="601" t="s">
        <v>28</v>
      </c>
      <c r="J25" s="602"/>
      <c r="K25" s="42">
        <v>110059</v>
      </c>
      <c r="L25" s="27"/>
      <c r="M25" s="4"/>
      <c r="O25"/>
      <c r="P25" s="15"/>
      <c r="Q25" s="3"/>
    </row>
    <row r="26" spans="2:22" x14ac:dyDescent="0.35">
      <c r="B26" s="16" t="s">
        <v>63</v>
      </c>
      <c r="C26" s="433">
        <v>200</v>
      </c>
      <c r="E26" s="625" t="s">
        <v>218</v>
      </c>
      <c r="F26" s="625"/>
      <c r="G26" s="626">
        <v>21658.41</v>
      </c>
      <c r="H26" s="11"/>
      <c r="I26" s="625" t="s">
        <v>220</v>
      </c>
      <c r="J26" s="625"/>
      <c r="K26" s="625">
        <v>45000</v>
      </c>
      <c r="L26" s="27"/>
      <c r="M26" s="4"/>
      <c r="O26"/>
      <c r="Q26" s="18"/>
      <c r="R26" s="3"/>
    </row>
    <row r="27" spans="2:22" x14ac:dyDescent="0.35">
      <c r="B27" s="16" t="s">
        <v>149</v>
      </c>
      <c r="C27" s="433">
        <v>50</v>
      </c>
      <c r="E27" s="17" t="s">
        <v>41</v>
      </c>
      <c r="F27" s="75"/>
      <c r="G27" s="44">
        <f>C29</f>
        <v>4050</v>
      </c>
      <c r="I27" s="625" t="s">
        <v>221</v>
      </c>
      <c r="J27" s="625"/>
      <c r="K27" s="625">
        <v>13800</v>
      </c>
      <c r="L27" s="27"/>
      <c r="M27" s="4"/>
      <c r="O27"/>
      <c r="Q27" s="3"/>
    </row>
    <row r="28" spans="2:22" ht="15" thickBot="1" x14ac:dyDescent="0.4">
      <c r="B28" s="16" t="s">
        <v>9</v>
      </c>
      <c r="C28" s="433">
        <v>3000</v>
      </c>
      <c r="E28" s="17" t="s">
        <v>151</v>
      </c>
      <c r="F28" s="75"/>
      <c r="G28" s="495">
        <v>1402</v>
      </c>
      <c r="H28" s="27"/>
      <c r="I28" s="628" t="s">
        <v>222</v>
      </c>
      <c r="J28" s="627"/>
      <c r="K28" s="627">
        <v>9817</v>
      </c>
      <c r="L28" s="27"/>
      <c r="M28" s="27"/>
      <c r="R28" s="3"/>
    </row>
    <row r="29" spans="2:22" ht="15" thickBot="1" x14ac:dyDescent="0.4">
      <c r="B29" s="19" t="s">
        <v>10</v>
      </c>
      <c r="C29" s="114">
        <f>SUM(C25:C28)</f>
        <v>4050</v>
      </c>
      <c r="E29" s="76" t="s">
        <v>30</v>
      </c>
      <c r="F29" s="77"/>
      <c r="G29" s="78">
        <v>59188.7</v>
      </c>
      <c r="I29" s="603" t="s">
        <v>59</v>
      </c>
      <c r="J29" s="604"/>
      <c r="K29" s="44">
        <v>13000</v>
      </c>
      <c r="L29" s="4"/>
      <c r="M29" s="4"/>
      <c r="R29" s="3"/>
    </row>
    <row r="30" spans="2:22" ht="14.5" customHeight="1" thickBot="1" x14ac:dyDescent="0.4">
      <c r="E30" s="76" t="s">
        <v>11</v>
      </c>
      <c r="F30" s="77"/>
      <c r="G30" s="79">
        <f>SUM(G25:G29)</f>
        <v>191676.11</v>
      </c>
      <c r="I30" s="595" t="s">
        <v>11</v>
      </c>
      <c r="J30" s="600"/>
      <c r="K30" s="43">
        <f>SUM(K25:K29)</f>
        <v>191676</v>
      </c>
      <c r="L30" s="4"/>
      <c r="M30" s="4"/>
      <c r="R30" s="3"/>
    </row>
    <row r="31" spans="2:22" x14ac:dyDescent="0.35">
      <c r="E31" s="594" t="s">
        <v>133</v>
      </c>
      <c r="F31" s="594"/>
      <c r="G31" s="594"/>
    </row>
    <row r="32" spans="2:22" x14ac:dyDescent="0.35">
      <c r="E32" s="592"/>
      <c r="F32" s="592"/>
      <c r="G32" s="592"/>
      <c r="I32" s="592"/>
      <c r="J32" s="592"/>
      <c r="K32" s="491"/>
    </row>
    <row r="33" spans="5:11" x14ac:dyDescent="0.35">
      <c r="E33" s="592"/>
      <c r="F33" s="592"/>
      <c r="G33" s="592"/>
      <c r="I33" s="67"/>
      <c r="J33" s="67"/>
      <c r="K33" s="491"/>
    </row>
    <row r="34" spans="5:11" x14ac:dyDescent="0.35">
      <c r="E34" s="592"/>
      <c r="F34" s="592"/>
      <c r="G34" s="592"/>
    </row>
  </sheetData>
  <mergeCells count="9">
    <mergeCell ref="E31:G34"/>
    <mergeCell ref="E24:F24"/>
    <mergeCell ref="B2:P2"/>
    <mergeCell ref="B4:C4"/>
    <mergeCell ref="I32:J32"/>
    <mergeCell ref="I24:J24"/>
    <mergeCell ref="I30:J30"/>
    <mergeCell ref="I25:J25"/>
    <mergeCell ref="I29:J29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topLeftCell="B1" workbookViewId="0">
      <pane xSplit="1" topLeftCell="C1" activePane="topRight" state="frozen"/>
      <selection activeCell="E48" sqref="E48"/>
      <selection pane="topRight" activeCell="D6" sqref="D6"/>
    </sheetView>
  </sheetViews>
  <sheetFormatPr defaultRowHeight="14.5" x14ac:dyDescent="0.35"/>
  <cols>
    <col min="1" max="1" width="0" hidden="1" customWidth="1"/>
    <col min="2" max="2" width="35.7265625" customWidth="1"/>
    <col min="3" max="3" width="13.7265625" customWidth="1"/>
    <col min="4" max="4" width="11.7265625" customWidth="1"/>
    <col min="5" max="5" width="13.7265625" customWidth="1"/>
    <col min="6" max="6" width="13" customWidth="1"/>
    <col min="7" max="7" width="89.54296875" bestFit="1" customWidth="1"/>
    <col min="8" max="8" width="14.54296875" customWidth="1"/>
    <col min="9" max="9" width="8" customWidth="1"/>
    <col min="10" max="10" width="7.453125" customWidth="1"/>
    <col min="11" max="11" width="15.1796875" customWidth="1"/>
    <col min="14" max="14" width="16" bestFit="1" customWidth="1"/>
    <col min="15" max="15" width="15.1796875" customWidth="1"/>
  </cols>
  <sheetData>
    <row r="1" spans="2:7" ht="15" customHeight="1" x14ac:dyDescent="0.5">
      <c r="B1" s="66"/>
      <c r="C1" s="66"/>
      <c r="D1" s="66"/>
      <c r="E1" s="66"/>
      <c r="F1" s="66"/>
    </row>
    <row r="2" spans="2:7" ht="21" x14ac:dyDescent="0.5">
      <c r="B2" s="597" t="s">
        <v>110</v>
      </c>
      <c r="C2" s="597"/>
      <c r="D2" s="597"/>
      <c r="E2" s="597"/>
      <c r="F2" s="597"/>
      <c r="G2" s="597"/>
    </row>
    <row r="3" spans="2:7" ht="11.25" customHeight="1" thickBot="1" x14ac:dyDescent="0.55000000000000004">
      <c r="B3" s="53"/>
      <c r="C3" s="53"/>
      <c r="D3" s="53"/>
      <c r="E3" s="53"/>
      <c r="F3" s="53"/>
    </row>
    <row r="4" spans="2:7" s="71" customFormat="1" ht="44" thickBot="1" x14ac:dyDescent="0.45">
      <c r="B4" s="598" t="s">
        <v>70</v>
      </c>
      <c r="C4" s="599"/>
      <c r="D4" s="125" t="s">
        <v>71</v>
      </c>
      <c r="E4" s="176" t="s">
        <v>156</v>
      </c>
      <c r="F4" s="525" t="s">
        <v>106</v>
      </c>
      <c r="G4" s="124" t="s">
        <v>131</v>
      </c>
    </row>
    <row r="5" spans="2:7" x14ac:dyDescent="0.35">
      <c r="B5" s="127" t="s">
        <v>6</v>
      </c>
      <c r="C5" s="131">
        <v>3900</v>
      </c>
      <c r="D5" s="413">
        <v>11666</v>
      </c>
      <c r="E5" s="419">
        <v>11393</v>
      </c>
      <c r="F5" s="524">
        <f>D5-E5</f>
        <v>273</v>
      </c>
      <c r="G5" s="519" t="s">
        <v>168</v>
      </c>
    </row>
    <row r="6" spans="2:7" x14ac:dyDescent="0.35">
      <c r="B6" s="128" t="s">
        <v>14</v>
      </c>
      <c r="C6" s="132">
        <v>3901</v>
      </c>
      <c r="D6" s="414">
        <f>'celkový plán 2021'!D6</f>
        <v>5100</v>
      </c>
      <c r="E6" s="420">
        <v>4687</v>
      </c>
      <c r="F6" s="523">
        <f t="shared" ref="F6:F19" si="0">D6-E6</f>
        <v>413</v>
      </c>
      <c r="G6" s="522" t="s">
        <v>175</v>
      </c>
    </row>
    <row r="7" spans="2:7" x14ac:dyDescent="0.35">
      <c r="B7" s="128" t="s">
        <v>15</v>
      </c>
      <c r="C7" s="132">
        <v>3903</v>
      </c>
      <c r="D7" s="414">
        <f>'celkový plán 2021'!D7</f>
        <v>3593</v>
      </c>
      <c r="E7" s="420">
        <v>3995.4274</v>
      </c>
      <c r="F7" s="523">
        <f t="shared" si="0"/>
        <v>-402.42740000000003</v>
      </c>
      <c r="G7" s="518" t="s">
        <v>176</v>
      </c>
    </row>
    <row r="8" spans="2:7" x14ac:dyDescent="0.35">
      <c r="B8" s="128" t="s">
        <v>16</v>
      </c>
      <c r="C8" s="132">
        <v>3904</v>
      </c>
      <c r="D8" s="414">
        <f>'celkový plán 2021'!D8</f>
        <v>1127</v>
      </c>
      <c r="E8" s="420"/>
      <c r="F8" s="523">
        <f t="shared" si="0"/>
        <v>1127</v>
      </c>
      <c r="G8" s="186" t="s">
        <v>177</v>
      </c>
    </row>
    <row r="9" spans="2:7" x14ac:dyDescent="0.35">
      <c r="B9" s="128" t="s">
        <v>17</v>
      </c>
      <c r="C9" s="132">
        <v>3905</v>
      </c>
      <c r="D9" s="415">
        <f>'celkový plán 2021'!D9</f>
        <v>1349</v>
      </c>
      <c r="E9" s="421"/>
      <c r="F9" s="523">
        <f t="shared" si="0"/>
        <v>1349</v>
      </c>
      <c r="G9" s="186" t="s">
        <v>178</v>
      </c>
    </row>
    <row r="10" spans="2:7" x14ac:dyDescent="0.35">
      <c r="B10" s="128" t="s">
        <v>18</v>
      </c>
      <c r="C10" s="132">
        <v>3906</v>
      </c>
      <c r="D10" s="414">
        <f>'celkový plán 2021'!D10</f>
        <v>1998</v>
      </c>
      <c r="E10" s="420">
        <v>1808</v>
      </c>
      <c r="F10" s="523">
        <f t="shared" si="0"/>
        <v>190</v>
      </c>
      <c r="G10" s="186" t="s">
        <v>175</v>
      </c>
    </row>
    <row r="11" spans="2:7" x14ac:dyDescent="0.35">
      <c r="B11" s="128" t="s">
        <v>19</v>
      </c>
      <c r="C11" s="132">
        <v>3907</v>
      </c>
      <c r="D11" s="414">
        <f>'celkový plán 2021'!D11</f>
        <v>6408</v>
      </c>
      <c r="E11" s="420">
        <v>6006</v>
      </c>
      <c r="F11" s="523">
        <f t="shared" si="0"/>
        <v>402</v>
      </c>
      <c r="G11" s="186" t="s">
        <v>175</v>
      </c>
    </row>
    <row r="12" spans="2:7" x14ac:dyDescent="0.35">
      <c r="B12" s="128" t="s">
        <v>20</v>
      </c>
      <c r="C12" s="132">
        <v>3908</v>
      </c>
      <c r="D12" s="414">
        <f>'celkový plán 2021'!D12</f>
        <v>1003</v>
      </c>
      <c r="E12" s="420">
        <v>1653</v>
      </c>
      <c r="F12" s="523">
        <f t="shared" si="0"/>
        <v>-650</v>
      </c>
      <c r="G12" s="186" t="s">
        <v>146</v>
      </c>
    </row>
    <row r="13" spans="2:7" x14ac:dyDescent="0.35">
      <c r="B13" s="129" t="s">
        <v>116</v>
      </c>
      <c r="C13" s="133">
        <v>3911</v>
      </c>
      <c r="D13" s="414">
        <f>'celkový plán 2021'!D13</f>
        <v>5180</v>
      </c>
      <c r="E13" s="420">
        <v>4571.3513442000003</v>
      </c>
      <c r="F13" s="523">
        <f t="shared" si="0"/>
        <v>608.64865579999969</v>
      </c>
      <c r="G13" s="186" t="s">
        <v>198</v>
      </c>
    </row>
    <row r="14" spans="2:7" x14ac:dyDescent="0.35">
      <c r="B14" s="129" t="s">
        <v>117</v>
      </c>
      <c r="C14" s="134">
        <v>3912</v>
      </c>
      <c r="D14" s="414">
        <f>'celkový plán 2021'!D14</f>
        <v>5955</v>
      </c>
      <c r="E14" s="420">
        <v>5320</v>
      </c>
      <c r="F14" s="523">
        <f t="shared" si="0"/>
        <v>635</v>
      </c>
      <c r="G14" s="186" t="s">
        <v>193</v>
      </c>
    </row>
    <row r="15" spans="2:7" x14ac:dyDescent="0.35">
      <c r="B15" s="129" t="s">
        <v>108</v>
      </c>
      <c r="C15" s="133">
        <v>3913</v>
      </c>
      <c r="D15" s="414">
        <f>'celkový plán 2021'!D15</f>
        <v>18087</v>
      </c>
      <c r="E15" s="420">
        <v>17114</v>
      </c>
      <c r="F15" s="523">
        <f t="shared" si="0"/>
        <v>973</v>
      </c>
      <c r="G15" s="186" t="s">
        <v>145</v>
      </c>
    </row>
    <row r="16" spans="2:7" x14ac:dyDescent="0.35">
      <c r="B16" s="128" t="s">
        <v>22</v>
      </c>
      <c r="C16" s="132">
        <v>3915</v>
      </c>
      <c r="D16" s="414">
        <f>'celkový plán 2021'!D16</f>
        <v>1553</v>
      </c>
      <c r="E16" s="420">
        <v>1320</v>
      </c>
      <c r="F16" s="523">
        <f t="shared" si="0"/>
        <v>233</v>
      </c>
      <c r="G16" s="423" t="s">
        <v>187</v>
      </c>
    </row>
    <row r="17" spans="2:11" x14ac:dyDescent="0.35">
      <c r="B17" s="128" t="s">
        <v>35</v>
      </c>
      <c r="C17" s="132">
        <v>3740</v>
      </c>
      <c r="D17" s="414">
        <f>'celkový plán 2021'!D17</f>
        <v>5935</v>
      </c>
      <c r="E17" s="420">
        <v>4118</v>
      </c>
      <c r="F17" s="523">
        <f t="shared" si="0"/>
        <v>1817</v>
      </c>
      <c r="G17" s="186" t="s">
        <v>194</v>
      </c>
    </row>
    <row r="18" spans="2:11" x14ac:dyDescent="0.35">
      <c r="B18" s="128" t="s">
        <v>25</v>
      </c>
      <c r="C18" s="132">
        <v>3960</v>
      </c>
      <c r="D18" s="414">
        <v>1915</v>
      </c>
      <c r="E18" s="420">
        <v>1889</v>
      </c>
      <c r="F18" s="523">
        <f t="shared" si="0"/>
        <v>26</v>
      </c>
      <c r="G18" s="186" t="s">
        <v>139</v>
      </c>
    </row>
    <row r="19" spans="2:11" ht="15" thickBot="1" x14ac:dyDescent="0.4">
      <c r="B19" s="130" t="s">
        <v>26</v>
      </c>
      <c r="C19" s="135">
        <v>3210</v>
      </c>
      <c r="D19" s="416">
        <f>'celkový plán 2021'!D19</f>
        <v>3559</v>
      </c>
      <c r="E19" s="422">
        <v>3746</v>
      </c>
      <c r="F19" s="526">
        <f t="shared" si="0"/>
        <v>-187</v>
      </c>
      <c r="G19" s="187" t="s">
        <v>189</v>
      </c>
    </row>
    <row r="20" spans="2:11" ht="15" thickBot="1" x14ac:dyDescent="0.4">
      <c r="B20" s="177" t="s">
        <v>72</v>
      </c>
      <c r="C20" s="177"/>
      <c r="D20" s="178">
        <f>SUM(D5:D19)</f>
        <v>74428</v>
      </c>
      <c r="E20" s="179">
        <f>SUM(E5:E19)</f>
        <v>67620.778744199997</v>
      </c>
      <c r="F20" s="114">
        <f t="shared" ref="F20" si="1">SUM(F5:F19)</f>
        <v>6807.2212557999992</v>
      </c>
      <c r="G20" s="180"/>
      <c r="K20" s="147"/>
    </row>
    <row r="21" spans="2:11" x14ac:dyDescent="0.35">
      <c r="B21" s="68"/>
      <c r="C21" s="69"/>
      <c r="D21" s="196"/>
      <c r="F21" s="50"/>
      <c r="K21" s="147"/>
    </row>
    <row r="22" spans="2:11" x14ac:dyDescent="0.35">
      <c r="D22" s="61"/>
      <c r="E22" s="61"/>
      <c r="F22" s="61"/>
      <c r="G22" s="5"/>
      <c r="H22" s="7"/>
      <c r="I22" s="7"/>
      <c r="J22" s="7"/>
      <c r="K22" s="7"/>
    </row>
    <row r="23" spans="2:11" hidden="1" x14ac:dyDescent="0.35">
      <c r="D23" s="6"/>
      <c r="E23" s="6"/>
      <c r="F23" s="6"/>
      <c r="G23" s="5"/>
      <c r="H23" s="7"/>
      <c r="I23" s="7"/>
      <c r="J23" s="7"/>
      <c r="K23" s="7"/>
    </row>
    <row r="24" spans="2:11" ht="15" hidden="1" customHeight="1" thickBot="1" x14ac:dyDescent="0.4">
      <c r="B24" s="8" t="s">
        <v>69</v>
      </c>
      <c r="C24" s="73" t="s">
        <v>68</v>
      </c>
      <c r="H24" s="3"/>
    </row>
    <row r="25" spans="2:11" ht="14.5" hidden="1" customHeight="1" x14ac:dyDescent="0.35">
      <c r="B25" s="14" t="s">
        <v>7</v>
      </c>
      <c r="C25" s="35">
        <v>800000</v>
      </c>
      <c r="G25" s="15"/>
    </row>
    <row r="26" spans="2:11" ht="15" hidden="1" customHeight="1" thickBot="1" x14ac:dyDescent="0.4">
      <c r="B26" s="16" t="s">
        <v>63</v>
      </c>
      <c r="C26" s="35">
        <v>200000</v>
      </c>
      <c r="H26" s="3"/>
    </row>
    <row r="27" spans="2:11" ht="15" hidden="1" customHeight="1" thickBot="1" x14ac:dyDescent="0.4">
      <c r="B27" s="16" t="s">
        <v>9</v>
      </c>
      <c r="C27" s="35">
        <v>2000000</v>
      </c>
    </row>
    <row r="28" spans="2:11" ht="15" hidden="1" thickBot="1" x14ac:dyDescent="0.4">
      <c r="B28" s="19" t="s">
        <v>10</v>
      </c>
      <c r="C28" s="36">
        <f>SUM(C25:C27)</f>
        <v>3000000</v>
      </c>
    </row>
    <row r="29" spans="2:11" ht="105.75" hidden="1" customHeight="1" x14ac:dyDescent="0.35"/>
    <row r="30" spans="2:11" ht="12" hidden="1" customHeight="1" x14ac:dyDescent="0.35"/>
    <row r="31" spans="2:11" ht="141" hidden="1" customHeight="1" x14ac:dyDescent="0.35"/>
  </sheetData>
  <mergeCells count="2">
    <mergeCell ref="B4:C4"/>
    <mergeCell ref="B2:G2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9"/>
  <sheetViews>
    <sheetView topLeftCell="B4" workbookViewId="0">
      <selection activeCell="B22" sqref="B22:O22"/>
    </sheetView>
  </sheetViews>
  <sheetFormatPr defaultRowHeight="14.5" x14ac:dyDescent="0.35"/>
  <cols>
    <col min="1" max="1" width="0" hidden="1" customWidth="1"/>
    <col min="2" max="2" width="35.7265625" customWidth="1"/>
    <col min="3" max="3" width="13.7265625" customWidth="1"/>
    <col min="4" max="4" width="11.7265625" customWidth="1"/>
    <col min="5" max="6" width="13.26953125" customWidth="1"/>
    <col min="7" max="7" width="11.7265625" customWidth="1"/>
    <col min="8" max="9" width="12.7265625" customWidth="1"/>
    <col min="10" max="15" width="11.7265625" customWidth="1"/>
    <col min="16" max="17" width="11.7265625" hidden="1" customWidth="1"/>
    <col min="18" max="18" width="15" style="4" hidden="1" customWidth="1"/>
    <col min="19" max="19" width="14.81640625" style="4" hidden="1" customWidth="1"/>
    <col min="20" max="20" width="17.26953125" hidden="1" customWidth="1"/>
    <col min="21" max="21" width="16" customWidth="1"/>
    <col min="22" max="22" width="16.1796875" customWidth="1"/>
    <col min="23" max="23" width="14.54296875" customWidth="1"/>
    <col min="24" max="24" width="8" customWidth="1"/>
    <col min="25" max="25" width="7.453125" customWidth="1"/>
    <col min="26" max="26" width="15.1796875" customWidth="1"/>
    <col min="29" max="29" width="16" bestFit="1" customWidth="1"/>
    <col min="30" max="30" width="15.1796875" customWidth="1"/>
  </cols>
  <sheetData>
    <row r="1" spans="2:20" ht="15" customHeight="1" x14ac:dyDescent="0.5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T1" s="4"/>
    </row>
    <row r="2" spans="2:20" ht="21" x14ac:dyDescent="0.5">
      <c r="B2" s="597" t="s">
        <v>115</v>
      </c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3"/>
      <c r="Q2" s="53"/>
    </row>
    <row r="3" spans="2:20" ht="11.25" customHeight="1" thickBot="1" x14ac:dyDescent="0.5500000000000000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2:20" s="71" customFormat="1" ht="58.5" thickBot="1" x14ac:dyDescent="0.45">
      <c r="B4" s="606" t="s">
        <v>70</v>
      </c>
      <c r="C4" s="607"/>
      <c r="D4" s="72" t="s">
        <v>1</v>
      </c>
      <c r="E4" s="81" t="s">
        <v>157</v>
      </c>
      <c r="F4" s="112" t="s">
        <v>106</v>
      </c>
      <c r="G4" s="72" t="s">
        <v>2</v>
      </c>
      <c r="H4" s="81" t="s">
        <v>158</v>
      </c>
      <c r="I4" s="112" t="s">
        <v>106</v>
      </c>
      <c r="J4" s="72" t="s">
        <v>4</v>
      </c>
      <c r="K4" s="81" t="s">
        <v>159</v>
      </c>
      <c r="L4" s="112" t="s">
        <v>106</v>
      </c>
      <c r="M4" s="72" t="s">
        <v>5</v>
      </c>
      <c r="N4" s="81" t="s">
        <v>160</v>
      </c>
      <c r="O4" s="112" t="s">
        <v>106</v>
      </c>
      <c r="P4" s="72" t="s">
        <v>13</v>
      </c>
      <c r="Q4" s="72" t="s">
        <v>75</v>
      </c>
      <c r="R4" s="72" t="s">
        <v>73</v>
      </c>
      <c r="S4" s="72" t="s">
        <v>74</v>
      </c>
      <c r="T4" s="81" t="s">
        <v>76</v>
      </c>
    </row>
    <row r="5" spans="2:20" s="346" customFormat="1" x14ac:dyDescent="0.35">
      <c r="B5" s="127" t="s">
        <v>6</v>
      </c>
      <c r="C5" s="131">
        <v>3900</v>
      </c>
      <c r="D5" s="118">
        <v>200</v>
      </c>
      <c r="E5" s="419">
        <v>200</v>
      </c>
      <c r="F5" s="424">
        <f>D5-E5</f>
        <v>0</v>
      </c>
      <c r="G5" s="118">
        <v>50</v>
      </c>
      <c r="H5" s="419">
        <v>50</v>
      </c>
      <c r="I5" s="424">
        <f>G5-H5</f>
        <v>0</v>
      </c>
      <c r="J5" s="118">
        <v>50</v>
      </c>
      <c r="K5" s="115">
        <v>50</v>
      </c>
      <c r="L5" s="424">
        <f>J5-K5</f>
        <v>0</v>
      </c>
      <c r="M5" s="118">
        <v>750</v>
      </c>
      <c r="N5" s="115">
        <v>750</v>
      </c>
      <c r="O5" s="113">
        <f>M5-N5</f>
        <v>0</v>
      </c>
    </row>
    <row r="6" spans="2:20" s="346" customFormat="1" x14ac:dyDescent="0.35">
      <c r="B6" s="128" t="s">
        <v>14</v>
      </c>
      <c r="C6" s="132">
        <v>3901</v>
      </c>
      <c r="D6" s="429">
        <v>45</v>
      </c>
      <c r="E6" s="420">
        <v>50</v>
      </c>
      <c r="F6" s="425">
        <f t="shared" ref="F6:F19" si="0">D6-E6</f>
        <v>-5</v>
      </c>
      <c r="G6" s="429">
        <v>2</v>
      </c>
      <c r="H6" s="420">
        <v>2</v>
      </c>
      <c r="I6" s="425">
        <f t="shared" ref="I6:I19" si="1">G6-H6</f>
        <v>0</v>
      </c>
      <c r="J6" s="429">
        <v>3</v>
      </c>
      <c r="K6" s="427">
        <v>3</v>
      </c>
      <c r="L6" s="425">
        <f t="shared" ref="L6:L19" si="2">J6-K6</f>
        <v>0</v>
      </c>
      <c r="M6" s="429">
        <v>13</v>
      </c>
      <c r="N6" s="427">
        <v>14</v>
      </c>
      <c r="O6" s="184">
        <f t="shared" ref="O6:O19" si="3">M6-N6</f>
        <v>-1</v>
      </c>
    </row>
    <row r="7" spans="2:20" s="346" customFormat="1" x14ac:dyDescent="0.35">
      <c r="B7" s="128" t="s">
        <v>15</v>
      </c>
      <c r="C7" s="132">
        <v>3903</v>
      </c>
      <c r="D7" s="429">
        <v>140</v>
      </c>
      <c r="E7" s="420">
        <v>175</v>
      </c>
      <c r="F7" s="425">
        <f t="shared" si="0"/>
        <v>-35</v>
      </c>
      <c r="G7" s="429">
        <v>20</v>
      </c>
      <c r="H7" s="420">
        <v>20</v>
      </c>
      <c r="I7" s="425">
        <f t="shared" si="1"/>
        <v>0</v>
      </c>
      <c r="J7" s="429">
        <v>5</v>
      </c>
      <c r="K7" s="427">
        <v>5</v>
      </c>
      <c r="L7" s="425">
        <f t="shared" si="2"/>
        <v>0</v>
      </c>
      <c r="M7" s="429">
        <v>58</v>
      </c>
      <c r="N7" s="427">
        <v>70</v>
      </c>
      <c r="O7" s="184">
        <f t="shared" si="3"/>
        <v>-12</v>
      </c>
    </row>
    <row r="8" spans="2:20" s="346" customFormat="1" x14ac:dyDescent="0.35">
      <c r="B8" s="128" t="s">
        <v>16</v>
      </c>
      <c r="C8" s="132">
        <v>3904</v>
      </c>
      <c r="D8" s="429">
        <v>40</v>
      </c>
      <c r="E8" s="420"/>
      <c r="F8" s="425">
        <f t="shared" si="0"/>
        <v>40</v>
      </c>
      <c r="G8" s="429">
        <v>3</v>
      </c>
      <c r="H8" s="420"/>
      <c r="I8" s="425">
        <f t="shared" si="1"/>
        <v>3</v>
      </c>
      <c r="J8" s="429"/>
      <c r="K8" s="427"/>
      <c r="L8" s="425">
        <f t="shared" si="2"/>
        <v>0</v>
      </c>
      <c r="M8" s="429">
        <v>25</v>
      </c>
      <c r="N8" s="427"/>
      <c r="O8" s="184">
        <f t="shared" si="3"/>
        <v>25</v>
      </c>
    </row>
    <row r="9" spans="2:20" s="346" customFormat="1" x14ac:dyDescent="0.35">
      <c r="B9" s="128" t="s">
        <v>17</v>
      </c>
      <c r="C9" s="132">
        <v>3905</v>
      </c>
      <c r="D9" s="430">
        <v>40</v>
      </c>
      <c r="E9" s="421"/>
      <c r="F9" s="425">
        <f t="shared" si="0"/>
        <v>40</v>
      </c>
      <c r="G9" s="429">
        <v>10</v>
      </c>
      <c r="H9" s="421"/>
      <c r="I9" s="425">
        <f t="shared" si="1"/>
        <v>10</v>
      </c>
      <c r="J9" s="429"/>
      <c r="K9" s="428"/>
      <c r="L9" s="425">
        <f t="shared" si="2"/>
        <v>0</v>
      </c>
      <c r="M9" s="429">
        <v>15</v>
      </c>
      <c r="N9" s="427"/>
      <c r="O9" s="184">
        <f t="shared" si="3"/>
        <v>15</v>
      </c>
    </row>
    <row r="10" spans="2:20" s="346" customFormat="1" x14ac:dyDescent="0.35">
      <c r="B10" s="128" t="s">
        <v>18</v>
      </c>
      <c r="C10" s="132">
        <v>3906</v>
      </c>
      <c r="D10" s="429">
        <v>170</v>
      </c>
      <c r="E10" s="420">
        <v>260</v>
      </c>
      <c r="F10" s="425">
        <f t="shared" si="0"/>
        <v>-90</v>
      </c>
      <c r="G10" s="429">
        <v>20</v>
      </c>
      <c r="H10" s="420">
        <v>20</v>
      </c>
      <c r="I10" s="425">
        <f t="shared" si="1"/>
        <v>0</v>
      </c>
      <c r="J10" s="429">
        <v>5</v>
      </c>
      <c r="K10" s="427">
        <v>5</v>
      </c>
      <c r="L10" s="425">
        <f t="shared" si="2"/>
        <v>0</v>
      </c>
      <c r="M10" s="429">
        <v>199</v>
      </c>
      <c r="N10" s="427">
        <v>333</v>
      </c>
      <c r="O10" s="184">
        <f t="shared" si="3"/>
        <v>-134</v>
      </c>
    </row>
    <row r="11" spans="2:20" s="346" customFormat="1" x14ac:dyDescent="0.35">
      <c r="B11" s="128" t="s">
        <v>19</v>
      </c>
      <c r="C11" s="132">
        <v>3907</v>
      </c>
      <c r="D11" s="429">
        <v>100</v>
      </c>
      <c r="E11" s="420">
        <v>196</v>
      </c>
      <c r="F11" s="425">
        <f t="shared" si="0"/>
        <v>-96</v>
      </c>
      <c r="G11" s="429">
        <v>10</v>
      </c>
      <c r="H11" s="420">
        <v>30</v>
      </c>
      <c r="I11" s="425">
        <f t="shared" si="1"/>
        <v>-20</v>
      </c>
      <c r="J11" s="429"/>
      <c r="K11" s="427">
        <v>5</v>
      </c>
      <c r="L11" s="425">
        <f t="shared" si="2"/>
        <v>-5</v>
      </c>
      <c r="M11" s="429">
        <v>52</v>
      </c>
      <c r="N11" s="427">
        <v>64</v>
      </c>
      <c r="O11" s="184">
        <f t="shared" si="3"/>
        <v>-12</v>
      </c>
    </row>
    <row r="12" spans="2:20" s="346" customFormat="1" x14ac:dyDescent="0.35">
      <c r="B12" s="128" t="s">
        <v>20</v>
      </c>
      <c r="C12" s="132">
        <v>3908</v>
      </c>
      <c r="D12" s="429">
        <v>30</v>
      </c>
      <c r="E12" s="420">
        <v>200</v>
      </c>
      <c r="F12" s="425">
        <f t="shared" si="0"/>
        <v>-170</v>
      </c>
      <c r="G12" s="429">
        <v>3</v>
      </c>
      <c r="H12" s="420">
        <v>0</v>
      </c>
      <c r="I12" s="425">
        <f t="shared" si="1"/>
        <v>3</v>
      </c>
      <c r="J12" s="429">
        <v>5</v>
      </c>
      <c r="K12" s="427">
        <v>5</v>
      </c>
      <c r="L12" s="425">
        <f t="shared" si="2"/>
        <v>0</v>
      </c>
      <c r="M12" s="429">
        <v>20</v>
      </c>
      <c r="N12" s="427">
        <v>10</v>
      </c>
      <c r="O12" s="184">
        <f t="shared" si="3"/>
        <v>10</v>
      </c>
    </row>
    <row r="13" spans="2:20" s="346" customFormat="1" x14ac:dyDescent="0.35">
      <c r="B13" s="129" t="s">
        <v>116</v>
      </c>
      <c r="C13" s="133">
        <v>3911</v>
      </c>
      <c r="D13" s="429">
        <v>1635</v>
      </c>
      <c r="E13" s="420">
        <v>1450</v>
      </c>
      <c r="F13" s="425">
        <f t="shared" si="0"/>
        <v>185</v>
      </c>
      <c r="G13" s="429">
        <v>10</v>
      </c>
      <c r="H13" s="420">
        <v>10</v>
      </c>
      <c r="I13" s="425">
        <f t="shared" si="1"/>
        <v>0</v>
      </c>
      <c r="J13" s="429">
        <v>3225</v>
      </c>
      <c r="K13" s="427">
        <v>2550</v>
      </c>
      <c r="L13" s="425">
        <f t="shared" si="2"/>
        <v>675</v>
      </c>
      <c r="M13" s="429">
        <v>1900</v>
      </c>
      <c r="N13" s="427">
        <v>1875</v>
      </c>
      <c r="O13" s="184">
        <f t="shared" si="3"/>
        <v>25</v>
      </c>
    </row>
    <row r="14" spans="2:20" s="346" customFormat="1" x14ac:dyDescent="0.35">
      <c r="B14" s="129" t="s">
        <v>117</v>
      </c>
      <c r="C14" s="134">
        <v>3912</v>
      </c>
      <c r="D14" s="429">
        <v>2545</v>
      </c>
      <c r="E14" s="420">
        <v>1750</v>
      </c>
      <c r="F14" s="425">
        <f t="shared" si="0"/>
        <v>795</v>
      </c>
      <c r="G14" s="429">
        <v>5</v>
      </c>
      <c r="H14" s="420">
        <v>5</v>
      </c>
      <c r="I14" s="425">
        <f t="shared" si="1"/>
        <v>0</v>
      </c>
      <c r="J14" s="429">
        <v>2650</v>
      </c>
      <c r="K14" s="427">
        <v>2500</v>
      </c>
      <c r="L14" s="425">
        <f t="shared" si="2"/>
        <v>150</v>
      </c>
      <c r="M14" s="429">
        <v>1007</v>
      </c>
      <c r="N14" s="427">
        <v>857</v>
      </c>
      <c r="O14" s="184">
        <f t="shared" si="3"/>
        <v>150</v>
      </c>
    </row>
    <row r="15" spans="2:20" s="346" customFormat="1" x14ac:dyDescent="0.35">
      <c r="B15" s="129" t="s">
        <v>108</v>
      </c>
      <c r="C15" s="133">
        <v>3913</v>
      </c>
      <c r="D15" s="429">
        <v>2210</v>
      </c>
      <c r="E15" s="420">
        <v>2420</v>
      </c>
      <c r="F15" s="425">
        <f t="shared" si="0"/>
        <v>-210</v>
      </c>
      <c r="G15" s="429">
        <v>0</v>
      </c>
      <c r="H15" s="420">
        <v>5</v>
      </c>
      <c r="I15" s="425">
        <f t="shared" si="1"/>
        <v>-5</v>
      </c>
      <c r="J15" s="429">
        <v>80</v>
      </c>
      <c r="K15" s="427">
        <v>50</v>
      </c>
      <c r="L15" s="425">
        <f t="shared" si="2"/>
        <v>30</v>
      </c>
      <c r="M15" s="429">
        <v>3105</v>
      </c>
      <c r="N15" s="427">
        <v>2735</v>
      </c>
      <c r="O15" s="184">
        <f t="shared" si="3"/>
        <v>370</v>
      </c>
    </row>
    <row r="16" spans="2:20" s="346" customFormat="1" x14ac:dyDescent="0.35">
      <c r="B16" s="128" t="s">
        <v>22</v>
      </c>
      <c r="C16" s="132">
        <v>3915</v>
      </c>
      <c r="D16" s="429">
        <v>18</v>
      </c>
      <c r="E16" s="420">
        <v>18</v>
      </c>
      <c r="F16" s="425">
        <f t="shared" si="0"/>
        <v>0</v>
      </c>
      <c r="G16" s="429">
        <v>7</v>
      </c>
      <c r="H16" s="420">
        <v>7</v>
      </c>
      <c r="I16" s="425">
        <f t="shared" si="1"/>
        <v>0</v>
      </c>
      <c r="J16" s="429"/>
      <c r="K16" s="427">
        <v>0</v>
      </c>
      <c r="L16" s="425">
        <f t="shared" si="2"/>
        <v>0</v>
      </c>
      <c r="M16" s="429">
        <v>26</v>
      </c>
      <c r="N16" s="427">
        <v>26</v>
      </c>
      <c r="O16" s="184">
        <f t="shared" si="3"/>
        <v>0</v>
      </c>
    </row>
    <row r="17" spans="2:26" s="346" customFormat="1" x14ac:dyDescent="0.35">
      <c r="B17" s="128" t="s">
        <v>35</v>
      </c>
      <c r="C17" s="132">
        <v>3740</v>
      </c>
      <c r="D17" s="429">
        <v>460</v>
      </c>
      <c r="E17" s="420">
        <v>450</v>
      </c>
      <c r="F17" s="425">
        <f t="shared" si="0"/>
        <v>10</v>
      </c>
      <c r="G17" s="429">
        <v>40</v>
      </c>
      <c r="H17" s="420">
        <v>62</v>
      </c>
      <c r="I17" s="425">
        <f t="shared" si="1"/>
        <v>-22</v>
      </c>
      <c r="J17" s="429">
        <v>130</v>
      </c>
      <c r="K17" s="427">
        <v>15</v>
      </c>
      <c r="L17" s="425">
        <f t="shared" si="2"/>
        <v>115</v>
      </c>
      <c r="M17" s="429">
        <v>208</v>
      </c>
      <c r="N17" s="427">
        <v>697</v>
      </c>
      <c r="O17" s="184">
        <f t="shared" si="3"/>
        <v>-489</v>
      </c>
    </row>
    <row r="18" spans="2:26" s="346" customFormat="1" x14ac:dyDescent="0.35">
      <c r="B18" s="128" t="s">
        <v>25</v>
      </c>
      <c r="C18" s="132">
        <v>3960</v>
      </c>
      <c r="D18" s="429">
        <v>45</v>
      </c>
      <c r="E18" s="420">
        <v>5</v>
      </c>
      <c r="F18" s="425">
        <f t="shared" si="0"/>
        <v>40</v>
      </c>
      <c r="G18" s="429">
        <v>60</v>
      </c>
      <c r="H18" s="420">
        <v>50</v>
      </c>
      <c r="I18" s="425">
        <f t="shared" si="1"/>
        <v>10</v>
      </c>
      <c r="J18" s="429">
        <v>5</v>
      </c>
      <c r="K18" s="427">
        <v>5</v>
      </c>
      <c r="L18" s="425">
        <f t="shared" si="2"/>
        <v>0</v>
      </c>
      <c r="M18" s="429">
        <v>15</v>
      </c>
      <c r="N18" s="427">
        <v>15</v>
      </c>
      <c r="O18" s="184">
        <f t="shared" si="3"/>
        <v>0</v>
      </c>
    </row>
    <row r="19" spans="2:26" s="346" customFormat="1" ht="15" thickBot="1" x14ac:dyDescent="0.4">
      <c r="B19" s="130" t="s">
        <v>26</v>
      </c>
      <c r="C19" s="135">
        <v>3210</v>
      </c>
      <c r="D19" s="431">
        <v>190</v>
      </c>
      <c r="E19" s="422">
        <v>70</v>
      </c>
      <c r="F19" s="520">
        <f t="shared" si="0"/>
        <v>120</v>
      </c>
      <c r="G19" s="431">
        <v>5</v>
      </c>
      <c r="H19" s="422">
        <v>5</v>
      </c>
      <c r="I19" s="520">
        <f t="shared" si="1"/>
        <v>0</v>
      </c>
      <c r="J19" s="431">
        <v>5</v>
      </c>
      <c r="K19" s="504">
        <v>5</v>
      </c>
      <c r="L19" s="520">
        <f t="shared" si="2"/>
        <v>0</v>
      </c>
      <c r="M19" s="431">
        <v>20</v>
      </c>
      <c r="N19" s="504">
        <v>20</v>
      </c>
      <c r="O19" s="185">
        <f t="shared" si="3"/>
        <v>0</v>
      </c>
    </row>
    <row r="20" spans="2:26" s="346" customFormat="1" ht="15" thickBot="1" x14ac:dyDescent="0.4">
      <c r="B20" s="177" t="s">
        <v>72</v>
      </c>
      <c r="C20" s="177"/>
      <c r="D20" s="119">
        <f>SUM(D5:D19)</f>
        <v>7868</v>
      </c>
      <c r="E20" s="116">
        <f>SUM(E5:E19)</f>
        <v>7244</v>
      </c>
      <c r="F20" s="426">
        <f t="shared" ref="F20" si="4">SUM(F5:F19)</f>
        <v>624</v>
      </c>
      <c r="G20" s="119">
        <f>SUM(G5:G19)</f>
        <v>245</v>
      </c>
      <c r="H20" s="116">
        <f>SUM(H5:H19)</f>
        <v>266</v>
      </c>
      <c r="I20" s="426">
        <f>SUM(I5:I19)</f>
        <v>-21</v>
      </c>
      <c r="J20" s="119">
        <f t="shared" ref="J20:O20" si="5">SUM(J5:J19)</f>
        <v>6163</v>
      </c>
      <c r="K20" s="116">
        <f t="shared" si="5"/>
        <v>5198</v>
      </c>
      <c r="L20" s="426">
        <f t="shared" si="5"/>
        <v>965</v>
      </c>
      <c r="M20" s="119">
        <f t="shared" si="5"/>
        <v>7413</v>
      </c>
      <c r="N20" s="116">
        <f t="shared" si="5"/>
        <v>7466</v>
      </c>
      <c r="O20" s="114">
        <f t="shared" si="5"/>
        <v>-53</v>
      </c>
    </row>
    <row r="21" spans="2:26" x14ac:dyDescent="0.35">
      <c r="B21" s="68"/>
      <c r="C21" s="69"/>
      <c r="O21" s="432"/>
      <c r="R21" s="7"/>
      <c r="S21" s="80" t="e">
        <f>#REF!+#REF!</f>
        <v>#REF!</v>
      </c>
    </row>
    <row r="22" spans="2:26" ht="36" customHeight="1" x14ac:dyDescent="0.35">
      <c r="B22" s="608" t="s">
        <v>195</v>
      </c>
      <c r="C22" s="608"/>
      <c r="D22" s="608"/>
      <c r="E22" s="608"/>
      <c r="F22" s="608"/>
      <c r="G22" s="608"/>
      <c r="H22" s="608"/>
      <c r="I22" s="608"/>
      <c r="J22" s="608"/>
      <c r="K22" s="608"/>
      <c r="L22" s="608"/>
      <c r="M22" s="608"/>
      <c r="N22" s="608"/>
      <c r="O22" s="608"/>
      <c r="P22" s="122"/>
      <c r="Q22" s="61"/>
      <c r="R22" s="31"/>
      <c r="S22" s="31"/>
      <c r="T22" s="6"/>
      <c r="U22" s="5"/>
      <c r="V22" s="7"/>
      <c r="W22" s="7"/>
      <c r="X22" s="7"/>
      <c r="Y22" s="7"/>
      <c r="Z22" s="7"/>
    </row>
    <row r="23" spans="2:26" s="346" customFormat="1" ht="14.5" customHeight="1" x14ac:dyDescent="0.35">
      <c r="B23" s="605" t="s">
        <v>197</v>
      </c>
      <c r="C23" s="605"/>
      <c r="D23" s="605"/>
      <c r="E23" s="605"/>
      <c r="F23" s="605"/>
      <c r="G23" s="605"/>
      <c r="H23" s="605"/>
      <c r="I23" s="605"/>
      <c r="J23" s="605"/>
      <c r="K23" s="605"/>
      <c r="L23" s="605"/>
      <c r="M23" s="605"/>
      <c r="N23" s="605"/>
      <c r="O23" s="605"/>
      <c r="P23" s="123"/>
      <c r="Q23" s="6"/>
      <c r="R23" s="31"/>
      <c r="S23" s="31"/>
      <c r="T23" s="6"/>
      <c r="U23" s="5"/>
      <c r="V23" s="7"/>
      <c r="W23" s="7"/>
      <c r="X23" s="7"/>
      <c r="Y23" s="7"/>
      <c r="Z23" s="7"/>
    </row>
    <row r="24" spans="2:26" ht="14.5" customHeight="1" x14ac:dyDescent="0.35">
      <c r="B24" s="605" t="s">
        <v>147</v>
      </c>
      <c r="C24" s="605"/>
      <c r="D24" s="605"/>
      <c r="E24" s="605"/>
      <c r="F24" s="605"/>
      <c r="G24" s="605"/>
      <c r="H24" s="605"/>
      <c r="I24" s="605"/>
      <c r="J24" s="605"/>
      <c r="K24" s="605"/>
      <c r="L24" s="605"/>
      <c r="M24" s="605"/>
      <c r="N24" s="605"/>
      <c r="O24" s="605"/>
      <c r="P24" s="54"/>
      <c r="W24" s="196">
        <f>D20+G20+J20+M20</f>
        <v>21689</v>
      </c>
    </row>
    <row r="25" spans="2:26" s="346" customFormat="1" ht="14.5" customHeight="1" x14ac:dyDescent="0.35">
      <c r="B25" s="605" t="s">
        <v>148</v>
      </c>
      <c r="C25" s="605"/>
      <c r="D25" s="605"/>
      <c r="E25" s="605"/>
      <c r="F25" s="605"/>
      <c r="G25" s="605"/>
      <c r="H25" s="605"/>
      <c r="I25" s="605"/>
      <c r="J25" s="605"/>
      <c r="K25" s="605"/>
      <c r="L25" s="605"/>
      <c r="M25" s="605"/>
      <c r="N25" s="605"/>
      <c r="O25" s="605"/>
      <c r="R25" s="4"/>
      <c r="S25" s="4"/>
      <c r="W25" s="196">
        <f>E20+H20+K20+N20</f>
        <v>20174</v>
      </c>
    </row>
    <row r="26" spans="2:26" s="346" customFormat="1" ht="14.5" customHeight="1" x14ac:dyDescent="0.35">
      <c r="B26" s="605" t="s">
        <v>132</v>
      </c>
      <c r="C26" s="605"/>
      <c r="D26" s="605"/>
      <c r="E26" s="605"/>
      <c r="F26" s="605"/>
      <c r="G26" s="605"/>
      <c r="H26" s="605"/>
      <c r="I26" s="605"/>
      <c r="J26" s="605"/>
      <c r="K26" s="605"/>
      <c r="L26" s="605"/>
      <c r="M26" s="605"/>
      <c r="N26" s="605"/>
      <c r="O26" s="605"/>
      <c r="R26" s="4"/>
      <c r="S26" s="4"/>
      <c r="W26" s="196">
        <f>W24-W25</f>
        <v>1515</v>
      </c>
    </row>
    <row r="27" spans="2:26" s="346" customFormat="1" x14ac:dyDescent="0.35">
      <c r="B27" s="496"/>
      <c r="C27" s="496"/>
      <c r="D27" s="496"/>
      <c r="E27" s="496"/>
      <c r="F27" s="496"/>
      <c r="G27" s="496"/>
      <c r="H27" s="496"/>
      <c r="I27" s="496"/>
      <c r="J27" s="496"/>
      <c r="K27" s="496"/>
      <c r="L27" s="496"/>
      <c r="M27" s="496"/>
      <c r="N27" s="496"/>
      <c r="O27" s="496"/>
      <c r="R27" s="4"/>
      <c r="S27" s="4"/>
    </row>
    <row r="29" spans="2:26" x14ac:dyDescent="0.35">
      <c r="W29" s="196">
        <f>F20+I20+L20+O20</f>
        <v>1515</v>
      </c>
    </row>
  </sheetData>
  <mergeCells count="7">
    <mergeCell ref="B26:O26"/>
    <mergeCell ref="B25:O25"/>
    <mergeCell ref="B2:O2"/>
    <mergeCell ref="B24:O24"/>
    <mergeCell ref="B4:C4"/>
    <mergeCell ref="B22:O22"/>
    <mergeCell ref="B23:O23"/>
  </mergeCells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54"/>
  <sheetViews>
    <sheetView workbookViewId="0">
      <selection activeCell="F19" sqref="F19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4" width="21.7265625" style="346" customWidth="1"/>
    <col min="5" max="5" width="9.1796875" style="346"/>
    <col min="6" max="6" width="11.453125" style="346" bestFit="1" customWidth="1"/>
    <col min="7" max="16384" width="9.1796875" style="346"/>
  </cols>
  <sheetData>
    <row r="1" spans="1:6" ht="24" thickBot="1" x14ac:dyDescent="0.6">
      <c r="A1" s="207" t="s">
        <v>165</v>
      </c>
      <c r="B1" s="347"/>
      <c r="C1" s="347"/>
    </row>
    <row r="2" spans="1:6" ht="19" thickBot="1" x14ac:dyDescent="0.5">
      <c r="A2" s="82" t="s">
        <v>140</v>
      </c>
      <c r="B2" s="239" t="s">
        <v>134</v>
      </c>
      <c r="C2" s="239" t="s">
        <v>163</v>
      </c>
      <c r="D2" s="240" t="s">
        <v>164</v>
      </c>
    </row>
    <row r="3" spans="1:6" ht="15" thickBot="1" x14ac:dyDescent="0.4">
      <c r="A3" s="203" t="s">
        <v>77</v>
      </c>
      <c r="B3" s="398"/>
      <c r="C3" s="398"/>
      <c r="D3" s="204"/>
    </row>
    <row r="4" spans="1:6" x14ac:dyDescent="0.35">
      <c r="A4" s="350" t="s">
        <v>78</v>
      </c>
      <c r="B4" s="172">
        <v>6858</v>
      </c>
      <c r="C4" s="83"/>
      <c r="D4" s="211">
        <f>6648*1.05</f>
        <v>6980.4000000000005</v>
      </c>
      <c r="E4" s="499" t="s">
        <v>173</v>
      </c>
    </row>
    <row r="5" spans="1:6" x14ac:dyDescent="0.35">
      <c r="A5" s="352" t="s">
        <v>79</v>
      </c>
      <c r="B5" s="155">
        <v>1430</v>
      </c>
      <c r="C5" s="155"/>
      <c r="D5" s="212">
        <v>1436</v>
      </c>
    </row>
    <row r="6" spans="1:6" x14ac:dyDescent="0.35">
      <c r="A6" s="352" t="s">
        <v>80</v>
      </c>
      <c r="B6" s="155">
        <v>3000</v>
      </c>
      <c r="C6" s="155"/>
      <c r="D6" s="212">
        <v>3186</v>
      </c>
      <c r="F6" s="196"/>
    </row>
    <row r="7" spans="1:6" x14ac:dyDescent="0.35">
      <c r="A7" s="352" t="s">
        <v>81</v>
      </c>
      <c r="B7" s="226"/>
      <c r="C7" s="155"/>
      <c r="D7" s="213"/>
    </row>
    <row r="8" spans="1:6" x14ac:dyDescent="0.35">
      <c r="A8" s="352" t="s">
        <v>141</v>
      </c>
      <c r="B8" s="226"/>
      <c r="C8" s="155"/>
      <c r="D8" s="213"/>
    </row>
    <row r="9" spans="1:6" x14ac:dyDescent="0.35">
      <c r="A9" s="352" t="s">
        <v>82</v>
      </c>
      <c r="B9" s="155">
        <v>50</v>
      </c>
      <c r="C9" s="155"/>
      <c r="D9" s="212"/>
    </row>
    <row r="10" spans="1:6" x14ac:dyDescent="0.35">
      <c r="A10" s="352" t="s">
        <v>83</v>
      </c>
      <c r="B10" s="155">
        <v>53</v>
      </c>
      <c r="C10" s="155"/>
      <c r="D10" s="212">
        <v>64</v>
      </c>
    </row>
    <row r="11" spans="1:6" x14ac:dyDescent="0.35">
      <c r="A11" s="352" t="s">
        <v>84</v>
      </c>
      <c r="B11" s="155">
        <v>2</v>
      </c>
      <c r="C11" s="155"/>
      <c r="D11" s="212"/>
    </row>
    <row r="12" spans="1:6" ht="15" thickBot="1" x14ac:dyDescent="0.4">
      <c r="A12" s="231"/>
      <c r="B12" s="271"/>
      <c r="C12" s="84"/>
      <c r="D12" s="214"/>
      <c r="F12" s="85"/>
    </row>
    <row r="13" spans="1:6" ht="15" thickBot="1" x14ac:dyDescent="0.4">
      <c r="A13" s="353" t="s">
        <v>85</v>
      </c>
      <c r="B13" s="270">
        <f>SUM(B4:B12)</f>
        <v>11393</v>
      </c>
      <c r="C13" s="215">
        <v>9835</v>
      </c>
      <c r="D13" s="215">
        <f>SUM(D4:D12)</f>
        <v>11666.400000000001</v>
      </c>
      <c r="F13" s="196"/>
    </row>
    <row r="14" spans="1:6" ht="15" thickBot="1" x14ac:dyDescent="0.4">
      <c r="A14" s="194"/>
      <c r="B14" s="228"/>
      <c r="C14" s="228"/>
      <c r="D14" s="195"/>
    </row>
    <row r="15" spans="1:6" ht="15" thickBot="1" x14ac:dyDescent="0.4">
      <c r="A15" s="199" t="s">
        <v>1</v>
      </c>
      <c r="B15" s="253"/>
      <c r="C15" s="253"/>
      <c r="D15" s="200"/>
    </row>
    <row r="16" spans="1:6" x14ac:dyDescent="0.35">
      <c r="A16" s="357" t="s">
        <v>86</v>
      </c>
      <c r="B16" s="254"/>
      <c r="C16" s="254"/>
      <c r="D16" s="216"/>
    </row>
    <row r="17" spans="1:6" x14ac:dyDescent="0.35">
      <c r="A17" s="234" t="s">
        <v>87</v>
      </c>
      <c r="B17" s="255"/>
      <c r="C17" s="255"/>
      <c r="D17" s="217"/>
    </row>
    <row r="18" spans="1:6" x14ac:dyDescent="0.35">
      <c r="A18" s="234" t="s">
        <v>88</v>
      </c>
      <c r="B18" s="255"/>
      <c r="C18" s="255"/>
      <c r="D18" s="217"/>
      <c r="F18" s="196"/>
    </row>
    <row r="19" spans="1:6" x14ac:dyDescent="0.35">
      <c r="A19" s="358" t="s">
        <v>89</v>
      </c>
      <c r="B19" s="256"/>
      <c r="C19" s="256"/>
      <c r="D19" s="217"/>
    </row>
    <row r="20" spans="1:6" ht="15" thickBot="1" x14ac:dyDescent="0.4">
      <c r="A20" s="358"/>
      <c r="B20" s="256"/>
      <c r="C20" s="256"/>
      <c r="D20" s="218"/>
    </row>
    <row r="21" spans="1:6" ht="15" thickBot="1" x14ac:dyDescent="0.4">
      <c r="A21" s="360" t="s">
        <v>85</v>
      </c>
      <c r="B21" s="257">
        <v>200</v>
      </c>
      <c r="C21" s="257">
        <v>76</v>
      </c>
      <c r="D21" s="257">
        <v>200</v>
      </c>
    </row>
    <row r="22" spans="1:6" ht="15" thickBot="1" x14ac:dyDescent="0.4">
      <c r="A22" s="194"/>
      <c r="B22" s="258"/>
      <c r="C22" s="258"/>
      <c r="D22" s="198"/>
    </row>
    <row r="23" spans="1:6" ht="15" thickBot="1" x14ac:dyDescent="0.4">
      <c r="A23" s="205" t="s">
        <v>2</v>
      </c>
      <c r="B23" s="259"/>
      <c r="C23" s="259"/>
      <c r="D23" s="206"/>
    </row>
    <row r="24" spans="1:6" ht="15" thickBot="1" x14ac:dyDescent="0.4">
      <c r="A24" s="364" t="s">
        <v>90</v>
      </c>
      <c r="B24" s="260">
        <v>50</v>
      </c>
      <c r="C24" s="260"/>
      <c r="D24" s="243"/>
    </row>
    <row r="25" spans="1:6" ht="15" thickBot="1" x14ac:dyDescent="0.4">
      <c r="A25" s="366" t="s">
        <v>85</v>
      </c>
      <c r="B25" s="261">
        <f>B24</f>
        <v>50</v>
      </c>
      <c r="C25" s="261">
        <v>7</v>
      </c>
      <c r="D25" s="261">
        <v>50</v>
      </c>
    </row>
    <row r="26" spans="1:6" x14ac:dyDescent="0.35">
      <c r="A26" s="194"/>
      <c r="B26" s="258"/>
      <c r="C26" s="258"/>
      <c r="D26" s="198"/>
    </row>
    <row r="27" spans="1:6" ht="15" thickBot="1" x14ac:dyDescent="0.4">
      <c r="A27" s="194"/>
      <c r="B27" s="258"/>
      <c r="C27" s="258"/>
      <c r="D27" s="198"/>
    </row>
    <row r="28" spans="1:6" ht="15" thickBot="1" x14ac:dyDescent="0.4">
      <c r="A28" s="202" t="s">
        <v>91</v>
      </c>
      <c r="B28" s="262"/>
      <c r="C28" s="262"/>
      <c r="D28" s="208"/>
    </row>
    <row r="29" spans="1:6" ht="15" thickBot="1" x14ac:dyDescent="0.4">
      <c r="A29" s="370" t="s">
        <v>92</v>
      </c>
      <c r="B29" s="263">
        <v>50</v>
      </c>
      <c r="C29" s="263"/>
      <c r="D29" s="246"/>
    </row>
    <row r="30" spans="1:6" ht="15" thickBot="1" x14ac:dyDescent="0.4">
      <c r="A30" s="372" t="s">
        <v>85</v>
      </c>
      <c r="B30" s="264">
        <f>B29</f>
        <v>50</v>
      </c>
      <c r="C30" s="264"/>
      <c r="D30" s="264">
        <v>50</v>
      </c>
    </row>
    <row r="31" spans="1:6" ht="15" thickBot="1" x14ac:dyDescent="0.4">
      <c r="A31" s="194"/>
      <c r="B31" s="258"/>
      <c r="C31" s="258"/>
      <c r="D31" s="198"/>
    </row>
    <row r="32" spans="1:6" ht="15" thickBot="1" x14ac:dyDescent="0.4">
      <c r="A32" s="86" t="s">
        <v>3</v>
      </c>
      <c r="B32" s="87"/>
      <c r="C32" s="88"/>
      <c r="D32" s="241"/>
    </row>
    <row r="33" spans="1:6" ht="15" thickBot="1" x14ac:dyDescent="0.4">
      <c r="A33" s="377" t="s">
        <v>85</v>
      </c>
      <c r="B33" s="90">
        <v>0</v>
      </c>
      <c r="C33" s="90"/>
      <c r="D33" s="120">
        <v>0</v>
      </c>
    </row>
    <row r="34" spans="1:6" ht="15" thickBot="1" x14ac:dyDescent="0.4">
      <c r="A34" s="194"/>
      <c r="B34" s="258"/>
      <c r="C34" s="258"/>
      <c r="D34" s="201"/>
    </row>
    <row r="35" spans="1:6" ht="15" thickBot="1" x14ac:dyDescent="0.4">
      <c r="A35" s="209" t="s">
        <v>166</v>
      </c>
      <c r="B35" s="265"/>
      <c r="C35" s="265"/>
      <c r="D35" s="210"/>
    </row>
    <row r="36" spans="1:6" x14ac:dyDescent="0.35">
      <c r="A36" s="381" t="s">
        <v>93</v>
      </c>
      <c r="B36" s="174"/>
      <c r="C36" s="266"/>
      <c r="D36" s="219"/>
    </row>
    <row r="37" spans="1:6" x14ac:dyDescent="0.35">
      <c r="A37" s="236" t="s">
        <v>94</v>
      </c>
      <c r="B37" s="267"/>
      <c r="C37" s="267"/>
      <c r="D37" s="220"/>
    </row>
    <row r="38" spans="1:6" x14ac:dyDescent="0.35">
      <c r="A38" s="236" t="s">
        <v>95</v>
      </c>
      <c r="B38" s="344"/>
      <c r="C38" s="267"/>
      <c r="D38" s="221"/>
    </row>
    <row r="39" spans="1:6" x14ac:dyDescent="0.35">
      <c r="A39" s="236" t="s">
        <v>96</v>
      </c>
      <c r="B39" s="344"/>
      <c r="C39" s="267"/>
      <c r="D39" s="221"/>
      <c r="F39" s="196"/>
    </row>
    <row r="40" spans="1:6" x14ac:dyDescent="0.35">
      <c r="A40" s="236" t="s">
        <v>97</v>
      </c>
      <c r="B40" s="267"/>
      <c r="C40" s="267"/>
      <c r="D40" s="220"/>
    </row>
    <row r="41" spans="1:6" ht="15" thickBot="1" x14ac:dyDescent="0.4">
      <c r="A41" s="467" t="s">
        <v>167</v>
      </c>
      <c r="B41" s="468"/>
      <c r="C41" s="590">
        <v>2471</v>
      </c>
      <c r="D41" s="222"/>
    </row>
    <row r="42" spans="1:6" ht="15" thickBot="1" x14ac:dyDescent="0.4">
      <c r="A42" s="469" t="s">
        <v>85</v>
      </c>
      <c r="B42" s="470">
        <v>750</v>
      </c>
      <c r="C42" s="470">
        <v>2973</v>
      </c>
      <c r="D42" s="470">
        <v>750</v>
      </c>
    </row>
    <row r="43" spans="1:6" ht="15" thickBot="1" x14ac:dyDescent="0.4">
      <c r="A43" s="249"/>
      <c r="B43" s="250"/>
      <c r="C43" s="250"/>
      <c r="D43" s="251"/>
    </row>
    <row r="44" spans="1:6" ht="15" thickBot="1" x14ac:dyDescent="0.4">
      <c r="A44" s="202" t="s">
        <v>13</v>
      </c>
      <c r="B44" s="262"/>
      <c r="C44" s="262"/>
      <c r="D44" s="208"/>
    </row>
    <row r="45" spans="1:6" ht="15" thickBot="1" x14ac:dyDescent="0.4">
      <c r="A45" s="370" t="s">
        <v>13</v>
      </c>
      <c r="B45" s="263"/>
      <c r="C45" s="263"/>
      <c r="D45" s="246"/>
    </row>
    <row r="46" spans="1:6" ht="15" thickBot="1" x14ac:dyDescent="0.4">
      <c r="A46" s="372" t="s">
        <v>85</v>
      </c>
      <c r="B46" s="264">
        <v>300</v>
      </c>
      <c r="C46" s="264">
        <v>257</v>
      </c>
      <c r="D46" s="264">
        <v>300</v>
      </c>
    </row>
    <row r="47" spans="1:6" ht="15" thickBot="1" x14ac:dyDescent="0.4">
      <c r="A47" s="249"/>
      <c r="B47" s="250"/>
      <c r="C47" s="250"/>
      <c r="D47" s="251"/>
    </row>
    <row r="48" spans="1:6" ht="19" thickBot="1" x14ac:dyDescent="0.5">
      <c r="A48" s="391" t="s">
        <v>10</v>
      </c>
      <c r="B48" s="252">
        <f>B13+B21+B25+B30+B33+B42+B46</f>
        <v>12743</v>
      </c>
      <c r="C48" s="252">
        <f>C13+C21+C25+C30+C33+C42+C46</f>
        <v>13148</v>
      </c>
      <c r="D48" s="223">
        <f>D42+D33+D30+D25+D21+D13+D46</f>
        <v>13016.400000000001</v>
      </c>
      <c r="F48" s="27"/>
    </row>
    <row r="49" spans="1:4" x14ac:dyDescent="0.35">
      <c r="A49" s="396"/>
      <c r="B49" s="396"/>
      <c r="C49" s="396"/>
      <c r="D49" s="396"/>
    </row>
    <row r="50" spans="1:4" x14ac:dyDescent="0.35">
      <c r="A50" s="471"/>
      <c r="B50" s="471"/>
      <c r="C50" s="471"/>
      <c r="D50" s="396"/>
    </row>
    <row r="51" spans="1:4" x14ac:dyDescent="0.35">
      <c r="A51" s="472"/>
      <c r="B51" s="472"/>
      <c r="C51" s="472"/>
      <c r="D51" s="472"/>
    </row>
    <row r="52" spans="1:4" x14ac:dyDescent="0.35">
      <c r="A52" s="472"/>
      <c r="B52" s="472"/>
      <c r="C52" s="472"/>
      <c r="D52" s="472"/>
    </row>
    <row r="53" spans="1:4" x14ac:dyDescent="0.35">
      <c r="A53" s="528"/>
      <c r="B53" s="528"/>
      <c r="C53" s="528"/>
      <c r="D53" s="528"/>
    </row>
    <row r="54" spans="1:4" x14ac:dyDescent="0.35">
      <c r="A54" s="91"/>
      <c r="B54" s="473"/>
      <c r="C54" s="473"/>
      <c r="D54" s="473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0"/>
  <sheetViews>
    <sheetView workbookViewId="0">
      <selection activeCell="A2" sqref="A2"/>
    </sheetView>
  </sheetViews>
  <sheetFormatPr defaultColWidth="9.1796875" defaultRowHeight="14.5" x14ac:dyDescent="0.35"/>
  <cols>
    <col min="1" max="1" width="37.7265625" style="346" bestFit="1" customWidth="1"/>
    <col min="2" max="2" width="19.453125" style="346" customWidth="1"/>
    <col min="3" max="3" width="24" style="346" customWidth="1"/>
    <col min="4" max="4" width="18.453125" style="346" customWidth="1"/>
    <col min="5" max="16384" width="9.1796875" style="346"/>
  </cols>
  <sheetData>
    <row r="1" spans="1:7" ht="24" thickBot="1" x14ac:dyDescent="0.6">
      <c r="A1" s="207" t="s">
        <v>161</v>
      </c>
      <c r="B1" s="347"/>
      <c r="C1" s="347"/>
      <c r="D1" s="498" t="s">
        <v>162</v>
      </c>
    </row>
    <row r="2" spans="1:7" ht="19" thickBot="1" x14ac:dyDescent="0.5">
      <c r="A2" s="82" t="s">
        <v>120</v>
      </c>
      <c r="B2" s="239" t="s">
        <v>134</v>
      </c>
      <c r="C2" s="239" t="s">
        <v>163</v>
      </c>
      <c r="D2" s="240" t="s">
        <v>164</v>
      </c>
      <c r="G2" s="26"/>
    </row>
    <row r="3" spans="1:7" ht="15" thickBot="1" x14ac:dyDescent="0.4">
      <c r="A3" s="203" t="s">
        <v>77</v>
      </c>
      <c r="B3" s="398"/>
      <c r="C3" s="398"/>
      <c r="D3" s="204"/>
      <c r="G3" s="26"/>
    </row>
    <row r="4" spans="1:7" x14ac:dyDescent="0.35">
      <c r="A4" s="450" t="s">
        <v>78</v>
      </c>
      <c r="B4" s="211">
        <v>3050</v>
      </c>
      <c r="C4" s="225">
        <v>2949</v>
      </c>
      <c r="D4" s="211">
        <f>3146*1.05</f>
        <v>3303.3</v>
      </c>
      <c r="E4" s="529" t="s">
        <v>173</v>
      </c>
      <c r="G4" s="11"/>
    </row>
    <row r="5" spans="1:7" x14ac:dyDescent="0.35">
      <c r="A5" s="226" t="s">
        <v>79</v>
      </c>
      <c r="B5" s="212">
        <v>300</v>
      </c>
      <c r="C5" s="226">
        <v>194</v>
      </c>
      <c r="D5" s="212">
        <v>348</v>
      </c>
      <c r="G5" s="11"/>
    </row>
    <row r="6" spans="1:7" x14ac:dyDescent="0.35">
      <c r="A6" s="226" t="s">
        <v>80</v>
      </c>
      <c r="B6" s="212">
        <v>1214</v>
      </c>
      <c r="C6" s="226">
        <v>1138</v>
      </c>
      <c r="D6" s="212">
        <f>(D4+D5)*0.3642</f>
        <v>1329.8034600000001</v>
      </c>
      <c r="F6" s="196"/>
      <c r="G6" s="11"/>
    </row>
    <row r="7" spans="1:7" x14ac:dyDescent="0.35">
      <c r="A7" s="226" t="s">
        <v>81</v>
      </c>
      <c r="B7" s="213">
        <v>0</v>
      </c>
      <c r="C7" s="226">
        <v>0</v>
      </c>
      <c r="D7" s="213">
        <v>0</v>
      </c>
      <c r="G7" s="26"/>
    </row>
    <row r="8" spans="1:7" x14ac:dyDescent="0.35">
      <c r="A8" s="226" t="s">
        <v>98</v>
      </c>
      <c r="B8" s="213">
        <v>0</v>
      </c>
      <c r="C8" s="226">
        <v>0</v>
      </c>
      <c r="D8" s="213">
        <v>0</v>
      </c>
      <c r="G8" s="26"/>
    </row>
    <row r="9" spans="1:7" x14ac:dyDescent="0.35">
      <c r="A9" s="226" t="s">
        <v>82</v>
      </c>
      <c r="B9" s="212">
        <v>10</v>
      </c>
      <c r="C9" s="226">
        <v>0</v>
      </c>
      <c r="D9" s="212">
        <v>5</v>
      </c>
      <c r="G9" s="11"/>
    </row>
    <row r="10" spans="1:7" x14ac:dyDescent="0.35">
      <c r="A10" s="226" t="s">
        <v>83</v>
      </c>
      <c r="B10" s="212">
        <v>106</v>
      </c>
      <c r="C10" s="226">
        <v>89</v>
      </c>
      <c r="D10" s="212">
        <v>111</v>
      </c>
      <c r="G10" s="11"/>
    </row>
    <row r="11" spans="1:7" x14ac:dyDescent="0.35">
      <c r="A11" s="226" t="s">
        <v>84</v>
      </c>
      <c r="B11" s="212">
        <v>7</v>
      </c>
      <c r="C11" s="155">
        <v>0.55000000000000004</v>
      </c>
      <c r="D11" s="212">
        <v>3</v>
      </c>
      <c r="G11" s="11"/>
    </row>
    <row r="12" spans="1:7" ht="15" thickBot="1" x14ac:dyDescent="0.4">
      <c r="A12" s="227"/>
      <c r="B12" s="214"/>
      <c r="C12" s="227"/>
      <c r="D12" s="214"/>
      <c r="G12" s="26"/>
    </row>
    <row r="13" spans="1:7" ht="15" thickBot="1" x14ac:dyDescent="0.4">
      <c r="A13" s="159" t="s">
        <v>85</v>
      </c>
      <c r="B13" s="215">
        <f>SUM(B4:B12)</f>
        <v>4687</v>
      </c>
      <c r="C13" s="215">
        <f>SUM(C4:C12)</f>
        <v>4370.55</v>
      </c>
      <c r="D13" s="215">
        <f>SUM(D4:D11)</f>
        <v>5100.1034600000003</v>
      </c>
    </row>
    <row r="14" spans="1:7" ht="15" thickBot="1" x14ac:dyDescent="0.4">
      <c r="A14" s="194"/>
      <c r="B14" s="195"/>
      <c r="C14" s="228"/>
      <c r="D14" s="195"/>
    </row>
    <row r="15" spans="1:7" ht="15" thickBot="1" x14ac:dyDescent="0.4">
      <c r="A15" s="160" t="s">
        <v>1</v>
      </c>
      <c r="B15" s="200"/>
      <c r="C15" s="253"/>
      <c r="D15" s="200"/>
    </row>
    <row r="16" spans="1:7" x14ac:dyDescent="0.35">
      <c r="A16" s="161" t="s">
        <v>86</v>
      </c>
      <c r="B16" s="216">
        <v>20</v>
      </c>
      <c r="C16" s="254">
        <v>29.018000000000001</v>
      </c>
      <c r="D16" s="216">
        <v>20</v>
      </c>
    </row>
    <row r="17" spans="1:4" x14ac:dyDescent="0.35">
      <c r="A17" s="162" t="s">
        <v>87</v>
      </c>
      <c r="B17" s="217">
        <v>0</v>
      </c>
      <c r="C17" s="255">
        <v>0</v>
      </c>
      <c r="D17" s="217"/>
    </row>
    <row r="18" spans="1:4" x14ac:dyDescent="0.35">
      <c r="A18" s="162" t="s">
        <v>88</v>
      </c>
      <c r="B18" s="217">
        <v>15</v>
      </c>
      <c r="C18" s="255">
        <v>0</v>
      </c>
      <c r="D18" s="217">
        <v>15</v>
      </c>
    </row>
    <row r="19" spans="1:4" x14ac:dyDescent="0.35">
      <c r="A19" s="451" t="s">
        <v>89</v>
      </c>
      <c r="B19" s="218">
        <v>15</v>
      </c>
      <c r="C19" s="256">
        <v>0</v>
      </c>
      <c r="D19" s="218">
        <v>10</v>
      </c>
    </row>
    <row r="20" spans="1:4" ht="15" thickBot="1" x14ac:dyDescent="0.4">
      <c r="A20" s="451"/>
      <c r="B20" s="218"/>
      <c r="C20" s="256"/>
      <c r="D20" s="218"/>
    </row>
    <row r="21" spans="1:4" ht="15" thickBot="1" x14ac:dyDescent="0.4">
      <c r="A21" s="452" t="s">
        <v>85</v>
      </c>
      <c r="B21" s="269">
        <f>SUM(B16:B20)</f>
        <v>50</v>
      </c>
      <c r="C21" s="269">
        <f t="shared" ref="C21" si="0">SUM(C16:C20)</f>
        <v>29.018000000000001</v>
      </c>
      <c r="D21" s="269">
        <f>SUM(D16:D20)</f>
        <v>45</v>
      </c>
    </row>
    <row r="22" spans="1:4" ht="15" thickBot="1" x14ac:dyDescent="0.4">
      <c r="A22" s="194"/>
      <c r="B22" s="198"/>
      <c r="C22" s="258"/>
      <c r="D22" s="198"/>
    </row>
    <row r="23" spans="1:4" ht="15" thickBot="1" x14ac:dyDescent="0.4">
      <c r="A23" s="453" t="s">
        <v>2</v>
      </c>
      <c r="B23" s="206"/>
      <c r="C23" s="259"/>
      <c r="D23" s="206"/>
    </row>
    <row r="24" spans="1:4" ht="15" thickBot="1" x14ac:dyDescent="0.4">
      <c r="A24" s="454" t="s">
        <v>90</v>
      </c>
      <c r="B24" s="243">
        <v>2</v>
      </c>
      <c r="C24" s="260">
        <v>0</v>
      </c>
      <c r="D24" s="243">
        <v>2</v>
      </c>
    </row>
    <row r="25" spans="1:4" ht="15" thickBot="1" x14ac:dyDescent="0.4">
      <c r="A25" s="455" t="s">
        <v>85</v>
      </c>
      <c r="B25" s="169">
        <f>SUM(B24)</f>
        <v>2</v>
      </c>
      <c r="C25" s="169">
        <f t="shared" ref="C25" si="1">SUM(C23:C24)</f>
        <v>0</v>
      </c>
      <c r="D25" s="169">
        <f>SUM(D24)</f>
        <v>2</v>
      </c>
    </row>
    <row r="26" spans="1:4" x14ac:dyDescent="0.35">
      <c r="A26" s="194"/>
      <c r="B26" s="198"/>
      <c r="C26" s="258"/>
      <c r="D26" s="198"/>
    </row>
    <row r="27" spans="1:4" ht="15" thickBot="1" x14ac:dyDescent="0.4">
      <c r="A27" s="194"/>
      <c r="B27" s="198"/>
      <c r="C27" s="258"/>
      <c r="D27" s="198"/>
    </row>
    <row r="28" spans="1:4" ht="15" thickBot="1" x14ac:dyDescent="0.4">
      <c r="A28" s="456" t="s">
        <v>91</v>
      </c>
      <c r="B28" s="530"/>
      <c r="C28" s="531"/>
      <c r="D28" s="208"/>
    </row>
    <row r="29" spans="1:4" ht="15" thickBot="1" x14ac:dyDescent="0.4">
      <c r="A29" s="457" t="s">
        <v>92</v>
      </c>
      <c r="B29" s="246">
        <v>3</v>
      </c>
      <c r="C29" s="263">
        <v>0</v>
      </c>
      <c r="D29" s="246">
        <v>3</v>
      </c>
    </row>
    <row r="30" spans="1:4" ht="15" thickBot="1" x14ac:dyDescent="0.4">
      <c r="A30" s="458" t="s">
        <v>85</v>
      </c>
      <c r="B30" s="170">
        <f>SUM(B29)</f>
        <v>3</v>
      </c>
      <c r="C30" s="170">
        <f t="shared" ref="C30" si="2">SUM(C28:C29)</f>
        <v>0</v>
      </c>
      <c r="D30" s="170">
        <f>SUM(D29)</f>
        <v>3</v>
      </c>
    </row>
    <row r="31" spans="1:4" ht="15" thickBot="1" x14ac:dyDescent="0.4">
      <c r="A31" s="194"/>
      <c r="B31" s="198"/>
      <c r="C31" s="258"/>
      <c r="D31" s="198"/>
    </row>
    <row r="32" spans="1:4" ht="15" thickBot="1" x14ac:dyDescent="0.4">
      <c r="A32" s="459" t="s">
        <v>3</v>
      </c>
      <c r="B32" s="241">
        <v>0</v>
      </c>
      <c r="C32" s="343">
        <v>0</v>
      </c>
      <c r="D32" s="241"/>
    </row>
    <row r="33" spans="1:4" ht="15" thickBot="1" x14ac:dyDescent="0.4">
      <c r="A33" s="461" t="s">
        <v>85</v>
      </c>
      <c r="B33" s="152">
        <v>0</v>
      </c>
      <c r="C33" s="409">
        <v>0</v>
      </c>
      <c r="D33" s="152">
        <v>0</v>
      </c>
    </row>
    <row r="34" spans="1:4" ht="15" thickBot="1" x14ac:dyDescent="0.4">
      <c r="A34" s="194"/>
      <c r="B34" s="201"/>
      <c r="C34" s="258"/>
      <c r="D34" s="201"/>
    </row>
    <row r="35" spans="1:4" ht="15" thickBot="1" x14ac:dyDescent="0.4">
      <c r="A35" s="462" t="s">
        <v>5</v>
      </c>
      <c r="B35" s="210"/>
      <c r="C35" s="265"/>
      <c r="D35" s="210"/>
    </row>
    <row r="36" spans="1:4" x14ac:dyDescent="0.35">
      <c r="A36" s="463" t="s">
        <v>93</v>
      </c>
      <c r="B36" s="219">
        <v>1</v>
      </c>
      <c r="C36" s="266">
        <v>1.18</v>
      </c>
      <c r="D36" s="219">
        <v>1</v>
      </c>
    </row>
    <row r="37" spans="1:4" x14ac:dyDescent="0.35">
      <c r="A37" s="344" t="s">
        <v>94</v>
      </c>
      <c r="B37" s="220">
        <v>3</v>
      </c>
      <c r="C37" s="267">
        <v>1.3640000000000001</v>
      </c>
      <c r="D37" s="220">
        <v>2</v>
      </c>
    </row>
    <row r="38" spans="1:4" x14ac:dyDescent="0.35">
      <c r="A38" s="344" t="s">
        <v>95</v>
      </c>
      <c r="B38" s="221">
        <v>0</v>
      </c>
      <c r="C38" s="267">
        <v>0</v>
      </c>
      <c r="D38" s="221">
        <v>0</v>
      </c>
    </row>
    <row r="39" spans="1:4" x14ac:dyDescent="0.35">
      <c r="A39" s="344" t="s">
        <v>96</v>
      </c>
      <c r="B39" s="221">
        <v>0</v>
      </c>
      <c r="C39" s="267">
        <v>0</v>
      </c>
      <c r="D39" s="221">
        <v>0</v>
      </c>
    </row>
    <row r="40" spans="1:4" x14ac:dyDescent="0.35">
      <c r="A40" s="344" t="s">
        <v>97</v>
      </c>
      <c r="B40" s="221">
        <v>5</v>
      </c>
      <c r="C40" s="267">
        <v>0</v>
      </c>
      <c r="D40" s="221">
        <v>5</v>
      </c>
    </row>
    <row r="41" spans="1:4" ht="15" thickBot="1" x14ac:dyDescent="0.4">
      <c r="A41" s="464" t="s">
        <v>99</v>
      </c>
      <c r="B41" s="221">
        <v>5</v>
      </c>
      <c r="C41" s="93">
        <v>5.6079999999999997</v>
      </c>
      <c r="D41" s="221">
        <v>5</v>
      </c>
    </row>
    <row r="42" spans="1:4" ht="15" thickBot="1" x14ac:dyDescent="0.4">
      <c r="A42" s="466" t="s">
        <v>85</v>
      </c>
      <c r="B42" s="171">
        <f>SUM(B36:B41)</f>
        <v>14</v>
      </c>
      <c r="C42" s="341">
        <f t="shared" ref="C42" si="3">SUM(C36:C41)</f>
        <v>8.1519999999999992</v>
      </c>
      <c r="D42" s="171">
        <f>SUM(D36:D41)</f>
        <v>13</v>
      </c>
    </row>
    <row r="43" spans="1:4" ht="15" thickBot="1" x14ac:dyDescent="0.4">
      <c r="A43" s="249"/>
      <c r="B43" s="168"/>
      <c r="C43" s="250"/>
      <c r="D43" s="251"/>
    </row>
    <row r="44" spans="1:4" ht="19" thickBot="1" x14ac:dyDescent="0.5">
      <c r="A44" s="391" t="s">
        <v>10</v>
      </c>
      <c r="B44" s="223">
        <f>B42+B33+B30+B25+B21+B13</f>
        <v>4756</v>
      </c>
      <c r="C44" s="223">
        <f t="shared" ref="C44" si="4">C42+C33+C30+C25+C21+C13</f>
        <v>4407.72</v>
      </c>
      <c r="D44" s="223">
        <f>D13+D21+D25+D30+D42</f>
        <v>5163.1034600000003</v>
      </c>
    </row>
    <row r="45" spans="1:4" x14ac:dyDescent="0.35">
      <c r="A45" s="396"/>
      <c r="B45" s="396"/>
      <c r="C45" s="396"/>
      <c r="D45" s="396"/>
    </row>
    <row r="46" spans="1:4" x14ac:dyDescent="0.35">
      <c r="A46" s="197"/>
      <c r="B46" s="197"/>
      <c r="C46" s="197"/>
      <c r="D46" s="396"/>
    </row>
    <row r="47" spans="1:4" x14ac:dyDescent="0.35">
      <c r="A47" s="396"/>
      <c r="B47" s="396"/>
      <c r="C47" s="396"/>
      <c r="D47" s="396"/>
    </row>
    <row r="48" spans="1:4" x14ac:dyDescent="0.35">
      <c r="A48" s="396"/>
      <c r="B48" s="396"/>
      <c r="C48" s="396"/>
      <c r="D48" s="396"/>
    </row>
    <row r="49" spans="1:4" x14ac:dyDescent="0.35">
      <c r="A49" s="396"/>
      <c r="B49" s="396"/>
      <c r="C49" s="396"/>
      <c r="D49" s="396"/>
    </row>
    <row r="50" spans="1:4" x14ac:dyDescent="0.35">
      <c r="A50" s="396"/>
      <c r="B50" s="396"/>
      <c r="C50" s="396"/>
      <c r="D50" s="396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9"/>
  <sheetViews>
    <sheetView zoomScaleNormal="100" workbookViewId="0">
      <selection activeCell="A2" sqref="A2"/>
    </sheetView>
  </sheetViews>
  <sheetFormatPr defaultColWidth="9.1796875" defaultRowHeight="14.5" x14ac:dyDescent="0.35"/>
  <cols>
    <col min="1" max="1" width="37.81640625" style="346" bestFit="1" customWidth="1"/>
    <col min="2" max="3" width="19.453125" style="346" customWidth="1"/>
    <col min="4" max="4" width="21.1796875" style="346" customWidth="1"/>
    <col min="5" max="5" width="18.453125" style="346" customWidth="1"/>
    <col min="6" max="6" width="15.1796875" style="346" customWidth="1"/>
    <col min="7" max="8" width="9.1796875" style="346"/>
    <col min="9" max="9" width="11.453125" style="346" bestFit="1" customWidth="1"/>
    <col min="10" max="16384" width="9.1796875" style="346"/>
  </cols>
  <sheetData>
    <row r="1" spans="1:9" ht="24" thickBot="1" x14ac:dyDescent="0.6">
      <c r="A1" s="207" t="s">
        <v>161</v>
      </c>
      <c r="B1" s="347"/>
      <c r="C1" s="347"/>
      <c r="D1" s="347"/>
    </row>
    <row r="2" spans="1:9" ht="19" thickBot="1" x14ac:dyDescent="0.5">
      <c r="A2" s="82" t="s">
        <v>127</v>
      </c>
      <c r="B2" s="239" t="s">
        <v>134</v>
      </c>
      <c r="C2" s="240" t="s">
        <v>163</v>
      </c>
      <c r="D2" s="240" t="s">
        <v>164</v>
      </c>
      <c r="E2" s="532"/>
      <c r="F2" s="396"/>
      <c r="G2" s="396"/>
      <c r="H2" s="396"/>
    </row>
    <row r="3" spans="1:9" ht="15" thickBot="1" x14ac:dyDescent="0.4">
      <c r="A3" s="203" t="s">
        <v>77</v>
      </c>
      <c r="B3" s="398"/>
      <c r="C3" s="204"/>
      <c r="D3" s="204"/>
      <c r="G3" s="396"/>
      <c r="H3" s="396"/>
    </row>
    <row r="4" spans="1:9" x14ac:dyDescent="0.35">
      <c r="A4" s="350" t="s">
        <v>78</v>
      </c>
      <c r="B4" s="172">
        <v>2517</v>
      </c>
      <c r="C4" s="211"/>
      <c r="D4" s="211">
        <f>2162*1.05</f>
        <v>2270.1</v>
      </c>
      <c r="E4" s="175" t="s">
        <v>173</v>
      </c>
      <c r="G4" s="403"/>
      <c r="H4" s="396"/>
      <c r="I4" s="196"/>
    </row>
    <row r="5" spans="1:9" x14ac:dyDescent="0.35">
      <c r="A5" s="352" t="s">
        <v>79</v>
      </c>
      <c r="B5" s="173">
        <v>350</v>
      </c>
      <c r="C5" s="212"/>
      <c r="D5" s="154">
        <v>300</v>
      </c>
      <c r="G5" s="11"/>
      <c r="H5" s="396"/>
      <c r="I5" s="196"/>
    </row>
    <row r="6" spans="1:9" x14ac:dyDescent="0.35">
      <c r="A6" s="352" t="s">
        <v>80</v>
      </c>
      <c r="B6" s="155">
        <f>(B4+B5)*0.3622</f>
        <v>1038.4274</v>
      </c>
      <c r="C6" s="212"/>
      <c r="D6" s="212">
        <f>(D4+D5)*0.3642</f>
        <v>936.03042000000005</v>
      </c>
      <c r="G6" s="403"/>
      <c r="H6" s="396"/>
      <c r="I6" s="196"/>
    </row>
    <row r="7" spans="1:9" x14ac:dyDescent="0.35">
      <c r="A7" s="352" t="s">
        <v>81</v>
      </c>
      <c r="B7" s="155">
        <v>0</v>
      </c>
      <c r="C7" s="212"/>
      <c r="D7" s="212">
        <v>0</v>
      </c>
      <c r="G7" s="403"/>
      <c r="H7" s="396"/>
    </row>
    <row r="8" spans="1:9" x14ac:dyDescent="0.35">
      <c r="A8" s="352" t="s">
        <v>98</v>
      </c>
      <c r="B8" s="155">
        <v>0</v>
      </c>
      <c r="C8" s="212"/>
      <c r="D8" s="212">
        <v>0</v>
      </c>
      <c r="G8" s="403"/>
      <c r="H8" s="396"/>
    </row>
    <row r="9" spans="1:9" x14ac:dyDescent="0.35">
      <c r="A9" s="352" t="s">
        <v>82</v>
      </c>
      <c r="B9" s="155">
        <v>18</v>
      </c>
      <c r="C9" s="212"/>
      <c r="D9" s="212">
        <v>18</v>
      </c>
      <c r="G9" s="403"/>
      <c r="H9" s="396"/>
    </row>
    <row r="10" spans="1:9" x14ac:dyDescent="0.35">
      <c r="A10" s="352" t="s">
        <v>83</v>
      </c>
      <c r="B10" s="155">
        <v>71</v>
      </c>
      <c r="C10" s="212"/>
      <c r="D10" s="212">
        <v>69</v>
      </c>
      <c r="G10" s="403"/>
      <c r="H10" s="396"/>
    </row>
    <row r="11" spans="1:9" x14ac:dyDescent="0.35">
      <c r="A11" s="352" t="s">
        <v>84</v>
      </c>
      <c r="B11" s="155">
        <v>1</v>
      </c>
      <c r="C11" s="212"/>
      <c r="D11" s="212">
        <v>0</v>
      </c>
      <c r="G11" s="403"/>
      <c r="H11" s="396"/>
    </row>
    <row r="12" spans="1:9" ht="15" thickBot="1" x14ac:dyDescent="0.4">
      <c r="A12" s="231"/>
      <c r="B12" s="271"/>
      <c r="C12" s="214"/>
      <c r="D12" s="214"/>
      <c r="G12" s="396"/>
      <c r="H12" s="396"/>
      <c r="I12" s="196"/>
    </row>
    <row r="13" spans="1:9" ht="15" thickBot="1" x14ac:dyDescent="0.4">
      <c r="A13" s="353" t="s">
        <v>85</v>
      </c>
      <c r="B13" s="270">
        <f>SUM(B4:B12)</f>
        <v>3995.4274</v>
      </c>
      <c r="C13" s="215">
        <v>3516</v>
      </c>
      <c r="D13" s="215">
        <f>SUM(D4:D12)</f>
        <v>3593.13042</v>
      </c>
      <c r="E13" s="196"/>
      <c r="G13" s="196"/>
    </row>
    <row r="14" spans="1:9" ht="15" thickBot="1" x14ac:dyDescent="0.4">
      <c r="A14" s="194"/>
      <c r="B14" s="272"/>
      <c r="C14" s="195"/>
      <c r="D14" s="195"/>
    </row>
    <row r="15" spans="1:9" ht="15" thickBot="1" x14ac:dyDescent="0.4">
      <c r="A15" s="199" t="s">
        <v>1</v>
      </c>
      <c r="B15" s="533"/>
      <c r="C15" s="200"/>
      <c r="D15" s="200"/>
      <c r="G15" s="396"/>
      <c r="H15" s="396"/>
    </row>
    <row r="16" spans="1:9" x14ac:dyDescent="0.35">
      <c r="A16" s="357" t="s">
        <v>86</v>
      </c>
      <c r="B16" s="96">
        <v>20</v>
      </c>
      <c r="C16" s="216"/>
      <c r="D16" s="216">
        <v>20</v>
      </c>
      <c r="G16" s="403"/>
      <c r="H16" s="396"/>
    </row>
    <row r="17" spans="1:8" x14ac:dyDescent="0.35">
      <c r="A17" s="234" t="s">
        <v>87</v>
      </c>
      <c r="B17" s="534">
        <v>85</v>
      </c>
      <c r="C17" s="217"/>
      <c r="D17" s="535">
        <v>50</v>
      </c>
      <c r="G17" s="403"/>
      <c r="H17" s="396"/>
    </row>
    <row r="18" spans="1:8" x14ac:dyDescent="0.35">
      <c r="A18" s="234" t="s">
        <v>88</v>
      </c>
      <c r="B18" s="534">
        <v>50</v>
      </c>
      <c r="C18" s="217"/>
      <c r="D18" s="535">
        <v>50</v>
      </c>
      <c r="G18" s="403"/>
      <c r="H18" s="396"/>
    </row>
    <row r="19" spans="1:8" x14ac:dyDescent="0.35">
      <c r="A19" s="358" t="s">
        <v>89</v>
      </c>
      <c r="B19" s="256">
        <v>20</v>
      </c>
      <c r="C19" s="165"/>
      <c r="D19" s="165">
        <v>20</v>
      </c>
      <c r="G19" s="403"/>
      <c r="H19" s="396"/>
    </row>
    <row r="20" spans="1:8" ht="15" thickBot="1" x14ac:dyDescent="0.4">
      <c r="A20" s="358"/>
      <c r="B20" s="536"/>
      <c r="C20" s="218"/>
      <c r="D20" s="218"/>
      <c r="G20" s="396"/>
      <c r="H20" s="396"/>
    </row>
    <row r="21" spans="1:8" ht="15" thickBot="1" x14ac:dyDescent="0.4">
      <c r="A21" s="360" t="s">
        <v>85</v>
      </c>
      <c r="B21" s="257">
        <f>SUM(B16:B20)</f>
        <v>175</v>
      </c>
      <c r="C21" s="269">
        <v>131</v>
      </c>
      <c r="D21" s="269">
        <f>SUM(D16:D20)</f>
        <v>140</v>
      </c>
    </row>
    <row r="22" spans="1:8" ht="15" thickBot="1" x14ac:dyDescent="0.4">
      <c r="A22" s="194"/>
      <c r="B22" s="35"/>
      <c r="C22" s="198"/>
      <c r="D22" s="198"/>
    </row>
    <row r="23" spans="1:8" ht="15" thickBot="1" x14ac:dyDescent="0.4">
      <c r="A23" s="205" t="s">
        <v>2</v>
      </c>
      <c r="B23" s="537"/>
      <c r="C23" s="206"/>
      <c r="D23" s="206"/>
    </row>
    <row r="24" spans="1:8" ht="15" thickBot="1" x14ac:dyDescent="0.4">
      <c r="A24" s="364" t="s">
        <v>90</v>
      </c>
      <c r="B24" s="538">
        <v>20</v>
      </c>
      <c r="C24" s="243"/>
      <c r="D24" s="243">
        <v>20</v>
      </c>
    </row>
    <row r="25" spans="1:8" ht="15" thickBot="1" x14ac:dyDescent="0.4">
      <c r="A25" s="366" t="s">
        <v>85</v>
      </c>
      <c r="B25" s="261">
        <f>SUM(B24)</f>
        <v>20</v>
      </c>
      <c r="C25" s="261">
        <v>6</v>
      </c>
      <c r="D25" s="169">
        <f>SUM(D24)</f>
        <v>20</v>
      </c>
    </row>
    <row r="26" spans="1:8" x14ac:dyDescent="0.35">
      <c r="A26" s="194"/>
      <c r="B26" s="35"/>
      <c r="C26" s="198"/>
      <c r="D26" s="198"/>
    </row>
    <row r="27" spans="1:8" ht="15" thickBot="1" x14ac:dyDescent="0.4">
      <c r="A27" s="194"/>
      <c r="B27" s="35"/>
      <c r="C27" s="198"/>
      <c r="D27" s="198"/>
    </row>
    <row r="28" spans="1:8" ht="15" thickBot="1" x14ac:dyDescent="0.4">
      <c r="A28" s="202" t="s">
        <v>91</v>
      </c>
      <c r="B28" s="456"/>
      <c r="C28" s="208"/>
      <c r="D28" s="208"/>
    </row>
    <row r="29" spans="1:8" ht="15" thickBot="1" x14ac:dyDescent="0.4">
      <c r="A29" s="370" t="s">
        <v>92</v>
      </c>
      <c r="B29" s="434">
        <v>5</v>
      </c>
      <c r="C29" s="246"/>
      <c r="D29" s="246">
        <v>5</v>
      </c>
    </row>
    <row r="30" spans="1:8" ht="15" thickBot="1" x14ac:dyDescent="0.4">
      <c r="A30" s="372" t="s">
        <v>85</v>
      </c>
      <c r="B30" s="264">
        <f>SUM(B29)</f>
        <v>5</v>
      </c>
      <c r="C30" s="264">
        <v>0</v>
      </c>
      <c r="D30" s="170">
        <f>SUM(D29)</f>
        <v>5</v>
      </c>
    </row>
    <row r="31" spans="1:8" ht="15" thickBot="1" x14ac:dyDescent="0.4">
      <c r="A31" s="194"/>
      <c r="B31" s="35"/>
      <c r="C31" s="198"/>
      <c r="D31" s="198"/>
    </row>
    <row r="32" spans="1:8" ht="15" thickBot="1" x14ac:dyDescent="0.4">
      <c r="A32" s="342" t="s">
        <v>3</v>
      </c>
      <c r="B32" s="241">
        <v>0</v>
      </c>
      <c r="C32" s="241"/>
      <c r="D32" s="241">
        <v>0</v>
      </c>
    </row>
    <row r="33" spans="1:8" ht="15" thickBot="1" x14ac:dyDescent="0.4">
      <c r="A33" s="377" t="s">
        <v>85</v>
      </c>
      <c r="B33" s="539">
        <v>0</v>
      </c>
      <c r="C33" s="539"/>
      <c r="D33" s="120">
        <v>0</v>
      </c>
    </row>
    <row r="34" spans="1:8" ht="15" thickBot="1" x14ac:dyDescent="0.4">
      <c r="A34" s="194"/>
      <c r="B34" s="540"/>
      <c r="C34" s="201"/>
      <c r="D34" s="201"/>
    </row>
    <row r="35" spans="1:8" ht="15" thickBot="1" x14ac:dyDescent="0.4">
      <c r="A35" s="209" t="s">
        <v>5</v>
      </c>
      <c r="B35" s="462"/>
      <c r="C35" s="210"/>
      <c r="D35" s="210"/>
    </row>
    <row r="36" spans="1:8" x14ac:dyDescent="0.35">
      <c r="A36" s="381" t="s">
        <v>93</v>
      </c>
      <c r="B36" s="174">
        <v>3</v>
      </c>
      <c r="C36" s="219"/>
      <c r="D36" s="219">
        <v>3</v>
      </c>
      <c r="G36" s="403"/>
      <c r="H36" s="396"/>
    </row>
    <row r="37" spans="1:8" x14ac:dyDescent="0.35">
      <c r="A37" s="236" t="s">
        <v>94</v>
      </c>
      <c r="B37" s="267">
        <v>4</v>
      </c>
      <c r="C37" s="220"/>
      <c r="D37" s="220">
        <v>2</v>
      </c>
      <c r="G37" s="403"/>
      <c r="H37" s="396"/>
    </row>
    <row r="38" spans="1:8" x14ac:dyDescent="0.35">
      <c r="A38" s="236" t="s">
        <v>95</v>
      </c>
      <c r="B38" s="344">
        <v>0</v>
      </c>
      <c r="C38" s="221"/>
      <c r="D38" s="221">
        <v>0</v>
      </c>
      <c r="G38" s="403"/>
      <c r="H38" s="396"/>
    </row>
    <row r="39" spans="1:8" x14ac:dyDescent="0.35">
      <c r="A39" s="236" t="s">
        <v>96</v>
      </c>
      <c r="B39" s="344">
        <v>0</v>
      </c>
      <c r="C39" s="221"/>
      <c r="D39" s="221">
        <v>0</v>
      </c>
      <c r="G39" s="403"/>
      <c r="H39" s="396"/>
    </row>
    <row r="40" spans="1:8" x14ac:dyDescent="0.35">
      <c r="A40" s="236" t="s">
        <v>97</v>
      </c>
      <c r="B40" s="267">
        <v>60</v>
      </c>
      <c r="C40" s="220"/>
      <c r="D40" s="221">
        <v>50</v>
      </c>
      <c r="G40" s="403"/>
      <c r="H40" s="396"/>
    </row>
    <row r="41" spans="1:8" x14ac:dyDescent="0.35">
      <c r="A41" s="236" t="s">
        <v>99</v>
      </c>
      <c r="B41" s="267">
        <v>3</v>
      </c>
      <c r="C41" s="220"/>
      <c r="D41" s="220">
        <v>3</v>
      </c>
    </row>
    <row r="42" spans="1:8" ht="15" thickBot="1" x14ac:dyDescent="0.4">
      <c r="A42" s="237" t="s">
        <v>85</v>
      </c>
      <c r="B42" s="268">
        <f>SUM(B36:B41)</f>
        <v>70</v>
      </c>
      <c r="C42" s="171">
        <v>48</v>
      </c>
      <c r="D42" s="171">
        <f>SUM(D36:D41)</f>
        <v>58</v>
      </c>
    </row>
    <row r="43" spans="1:8" ht="15" thickBot="1" x14ac:dyDescent="0.4">
      <c r="A43" s="249"/>
      <c r="B43" s="250"/>
      <c r="C43" s="251"/>
      <c r="D43" s="251"/>
    </row>
    <row r="44" spans="1:8" ht="19" thickBot="1" x14ac:dyDescent="0.5">
      <c r="A44" s="391" t="s">
        <v>10</v>
      </c>
      <c r="B44" s="252">
        <f>B42+B33+B30+B25+B21+B13</f>
        <v>4265.4274000000005</v>
      </c>
      <c r="C44" s="252">
        <f>C42+C33+C30+C25+C21+C13</f>
        <v>3701</v>
      </c>
      <c r="D44" s="252">
        <f>D42+D33+D30+D25+D21+D13</f>
        <v>3816.13042</v>
      </c>
      <c r="E44" s="196"/>
    </row>
    <row r="45" spans="1:8" x14ac:dyDescent="0.35">
      <c r="A45" s="396"/>
      <c r="B45" s="396"/>
      <c r="C45" s="396"/>
      <c r="D45" s="396"/>
      <c r="E45" s="396"/>
    </row>
    <row r="46" spans="1:8" x14ac:dyDescent="0.35">
      <c r="A46" s="481"/>
      <c r="B46" s="197"/>
      <c r="C46" s="197"/>
      <c r="D46" s="541"/>
      <c r="E46" s="396"/>
    </row>
    <row r="47" spans="1:8" x14ac:dyDescent="0.35">
      <c r="A47" s="481"/>
      <c r="B47" s="396"/>
      <c r="C47" s="396"/>
      <c r="D47" s="396"/>
      <c r="E47" s="396"/>
    </row>
    <row r="48" spans="1:8" x14ac:dyDescent="0.35">
      <c r="A48" s="396"/>
      <c r="B48" s="396"/>
      <c r="C48" s="396"/>
      <c r="D48" s="396"/>
      <c r="E48" s="396"/>
    </row>
    <row r="49" spans="1:5" x14ac:dyDescent="0.35">
      <c r="A49" s="438"/>
      <c r="B49" s="396"/>
      <c r="C49" s="396"/>
      <c r="D49" s="396"/>
      <c r="E49" s="396"/>
    </row>
  </sheetData>
  <pageMargins left="0.25" right="0.25" top="0.75" bottom="0.75" header="0.3" footer="0.3"/>
  <pageSetup paperSize="9" scale="8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52"/>
  <sheetViews>
    <sheetView workbookViewId="0">
      <selection activeCell="A2" sqref="A2"/>
    </sheetView>
  </sheetViews>
  <sheetFormatPr defaultColWidth="9.1796875" defaultRowHeight="14.5" x14ac:dyDescent="0.35"/>
  <cols>
    <col min="1" max="1" width="37.54296875" style="346" bestFit="1" customWidth="1"/>
    <col min="2" max="2" width="19.453125" style="346" customWidth="1"/>
    <col min="3" max="3" width="24" style="346" customWidth="1"/>
    <col min="4" max="4" width="18.453125" style="346" customWidth="1"/>
    <col min="5" max="5" width="12.54296875" style="346" bestFit="1" customWidth="1"/>
    <col min="6" max="16384" width="9.1796875" style="346"/>
  </cols>
  <sheetData>
    <row r="1" spans="1:6" ht="24" thickBot="1" x14ac:dyDescent="0.6">
      <c r="A1" s="207" t="s">
        <v>161</v>
      </c>
      <c r="B1" s="347"/>
      <c r="C1" s="347"/>
      <c r="D1" s="498" t="s">
        <v>162</v>
      </c>
    </row>
    <row r="2" spans="1:6" ht="19" thickBot="1" x14ac:dyDescent="0.5">
      <c r="A2" s="82" t="s">
        <v>112</v>
      </c>
      <c r="B2" s="239" t="s">
        <v>134</v>
      </c>
      <c r="C2" s="239" t="s">
        <v>163</v>
      </c>
      <c r="D2" s="240" t="s">
        <v>164</v>
      </c>
    </row>
    <row r="3" spans="1:6" ht="15" thickBot="1" x14ac:dyDescent="0.4">
      <c r="A3" s="203" t="s">
        <v>77</v>
      </c>
      <c r="B3" s="398"/>
      <c r="C3" s="398"/>
      <c r="D3" s="204"/>
    </row>
    <row r="4" spans="1:6" x14ac:dyDescent="0.35">
      <c r="A4" s="450" t="s">
        <v>78</v>
      </c>
      <c r="B4" s="211">
        <v>856</v>
      </c>
      <c r="C4" s="83"/>
      <c r="D4" s="211">
        <f>634*1.05</f>
        <v>665.7</v>
      </c>
      <c r="E4" s="499" t="s">
        <v>173</v>
      </c>
    </row>
    <row r="5" spans="1:6" x14ac:dyDescent="0.35">
      <c r="A5" s="226" t="s">
        <v>79</v>
      </c>
      <c r="B5" s="212">
        <v>142</v>
      </c>
      <c r="C5" s="155"/>
      <c r="D5" s="212">
        <v>105</v>
      </c>
    </row>
    <row r="6" spans="1:6" x14ac:dyDescent="0.35">
      <c r="A6" s="226" t="s">
        <v>80</v>
      </c>
      <c r="B6" s="212">
        <v>363</v>
      </c>
      <c r="C6" s="155"/>
      <c r="D6" s="212">
        <f>(D4+D5)*0.3642</f>
        <v>280.68894000000006</v>
      </c>
      <c r="F6" s="196"/>
    </row>
    <row r="7" spans="1:6" x14ac:dyDescent="0.35">
      <c r="A7" s="226" t="s">
        <v>81</v>
      </c>
      <c r="B7" s="212"/>
      <c r="C7" s="155"/>
      <c r="D7" s="212"/>
    </row>
    <row r="8" spans="1:6" x14ac:dyDescent="0.35">
      <c r="A8" s="226" t="s">
        <v>98</v>
      </c>
      <c r="B8" s="212">
        <v>0</v>
      </c>
      <c r="C8" s="155"/>
      <c r="D8" s="212">
        <v>0</v>
      </c>
    </row>
    <row r="9" spans="1:6" x14ac:dyDescent="0.35">
      <c r="A9" s="226" t="s">
        <v>82</v>
      </c>
      <c r="B9" s="154">
        <v>73</v>
      </c>
      <c r="C9" s="155"/>
      <c r="D9" s="212">
        <v>50</v>
      </c>
    </row>
    <row r="10" spans="1:6" x14ac:dyDescent="0.35">
      <c r="A10" s="226" t="s">
        <v>83</v>
      </c>
      <c r="B10" s="212">
        <v>27</v>
      </c>
      <c r="C10" s="155"/>
      <c r="D10" s="212">
        <v>25</v>
      </c>
    </row>
    <row r="11" spans="1:6" x14ac:dyDescent="0.35">
      <c r="A11" s="226" t="s">
        <v>84</v>
      </c>
      <c r="B11" s="212">
        <v>1</v>
      </c>
      <c r="C11" s="155"/>
      <c r="D11" s="212">
        <v>1</v>
      </c>
    </row>
    <row r="12" spans="1:6" ht="15" thickBot="1" x14ac:dyDescent="0.4">
      <c r="A12" s="227" t="s">
        <v>169</v>
      </c>
      <c r="B12" s="163"/>
      <c r="C12" s="84"/>
      <c r="D12" s="163"/>
    </row>
    <row r="13" spans="1:6" ht="15" thickBot="1" x14ac:dyDescent="0.4">
      <c r="A13" s="159" t="s">
        <v>85</v>
      </c>
      <c r="B13" s="270">
        <v>1462</v>
      </c>
      <c r="C13" s="215">
        <v>1516</v>
      </c>
      <c r="D13" s="215">
        <f>SUM(D4:D12)</f>
        <v>1127.38894</v>
      </c>
    </row>
    <row r="14" spans="1:6" ht="15" thickBot="1" x14ac:dyDescent="0.4">
      <c r="A14" s="194"/>
      <c r="B14" s="198"/>
      <c r="C14" s="258"/>
      <c r="D14" s="95"/>
    </row>
    <row r="15" spans="1:6" ht="15" thickBot="1" x14ac:dyDescent="0.4">
      <c r="A15" s="160" t="s">
        <v>1</v>
      </c>
      <c r="B15" s="542"/>
      <c r="C15" s="253"/>
      <c r="D15" s="158"/>
    </row>
    <row r="16" spans="1:6" x14ac:dyDescent="0.35">
      <c r="A16" s="161" t="s">
        <v>86</v>
      </c>
      <c r="B16" s="216">
        <v>8</v>
      </c>
      <c r="C16" s="254"/>
      <c r="D16" s="216">
        <v>8</v>
      </c>
    </row>
    <row r="17" spans="1:4" x14ac:dyDescent="0.35">
      <c r="A17" s="162" t="s">
        <v>87</v>
      </c>
      <c r="B17" s="217">
        <v>0</v>
      </c>
      <c r="C17" s="255"/>
      <c r="D17" s="217">
        <v>30</v>
      </c>
    </row>
    <row r="18" spans="1:4" x14ac:dyDescent="0.35">
      <c r="A18" s="162" t="s">
        <v>88</v>
      </c>
      <c r="B18" s="165">
        <v>15</v>
      </c>
      <c r="C18" s="255"/>
      <c r="D18" s="217">
        <v>1</v>
      </c>
    </row>
    <row r="19" spans="1:4" x14ac:dyDescent="0.35">
      <c r="A19" s="451" t="s">
        <v>89</v>
      </c>
      <c r="B19" s="165">
        <v>2</v>
      </c>
      <c r="C19" s="256"/>
      <c r="D19" s="165">
        <v>1</v>
      </c>
    </row>
    <row r="20" spans="1:4" ht="15" thickBot="1" x14ac:dyDescent="0.4">
      <c r="A20" s="451"/>
      <c r="B20" s="165"/>
      <c r="C20" s="256"/>
      <c r="D20" s="165"/>
    </row>
    <row r="21" spans="1:4" ht="15" thickBot="1" x14ac:dyDescent="0.4">
      <c r="A21" s="452" t="s">
        <v>85</v>
      </c>
      <c r="B21" s="269">
        <v>25</v>
      </c>
      <c r="C21" s="269">
        <v>1</v>
      </c>
      <c r="D21" s="269">
        <f t="shared" ref="D21" si="0">SUM(D16:D20)</f>
        <v>40</v>
      </c>
    </row>
    <row r="22" spans="1:4" ht="15" thickBot="1" x14ac:dyDescent="0.4">
      <c r="A22" s="194"/>
      <c r="B22" s="543"/>
      <c r="C22" s="258"/>
      <c r="D22" s="198"/>
    </row>
    <row r="23" spans="1:4" ht="15" thickBot="1" x14ac:dyDescent="0.4">
      <c r="A23" s="453" t="s">
        <v>2</v>
      </c>
      <c r="B23" s="243"/>
      <c r="C23" s="259"/>
      <c r="D23" s="98"/>
    </row>
    <row r="24" spans="1:4" ht="15" thickBot="1" x14ac:dyDescent="0.4">
      <c r="A24" s="454" t="s">
        <v>90</v>
      </c>
      <c r="B24" s="169">
        <v>9</v>
      </c>
      <c r="C24" s="260">
        <v>2.6</v>
      </c>
      <c r="D24" s="243">
        <v>3</v>
      </c>
    </row>
    <row r="25" spans="1:4" ht="15" thickBot="1" x14ac:dyDescent="0.4">
      <c r="A25" s="455" t="s">
        <v>85</v>
      </c>
      <c r="B25" s="261">
        <v>9</v>
      </c>
      <c r="C25" s="169">
        <f t="shared" ref="C25:D25" si="1">SUM(C23:C24)</f>
        <v>2.6</v>
      </c>
      <c r="D25" s="169">
        <f t="shared" si="1"/>
        <v>3</v>
      </c>
    </row>
    <row r="26" spans="1:4" ht="15" thickBot="1" x14ac:dyDescent="0.4">
      <c r="A26" s="194"/>
      <c r="B26" s="198"/>
      <c r="C26" s="258"/>
      <c r="D26" s="198"/>
    </row>
    <row r="27" spans="1:4" ht="15" thickBot="1" x14ac:dyDescent="0.4">
      <c r="A27" s="456" t="s">
        <v>91</v>
      </c>
      <c r="B27" s="99"/>
      <c r="C27" s="262"/>
      <c r="D27" s="99"/>
    </row>
    <row r="28" spans="1:4" ht="15" thickBot="1" x14ac:dyDescent="0.4">
      <c r="A28" s="457" t="s">
        <v>92</v>
      </c>
      <c r="B28" s="246">
        <v>2</v>
      </c>
      <c r="C28" s="263">
        <v>0</v>
      </c>
      <c r="D28" s="246">
        <v>0</v>
      </c>
    </row>
    <row r="29" spans="1:4" ht="15" thickBot="1" x14ac:dyDescent="0.4">
      <c r="A29" s="458" t="s">
        <v>85</v>
      </c>
      <c r="B29" s="170">
        <v>2</v>
      </c>
      <c r="C29" s="170">
        <f t="shared" ref="C29:D29" si="2">SUM(C27:C28)</f>
        <v>0</v>
      </c>
      <c r="D29" s="170">
        <f t="shared" si="2"/>
        <v>0</v>
      </c>
    </row>
    <row r="30" spans="1:4" ht="15" thickBot="1" x14ac:dyDescent="0.4">
      <c r="A30" s="194"/>
      <c r="B30" s="198"/>
      <c r="C30" s="258"/>
      <c r="D30" s="198"/>
    </row>
    <row r="31" spans="1:4" ht="15" thickBot="1" x14ac:dyDescent="0.4">
      <c r="A31" s="459" t="s">
        <v>3</v>
      </c>
      <c r="B31" s="460">
        <v>0</v>
      </c>
      <c r="C31" s="343"/>
      <c r="D31" s="100"/>
    </row>
    <row r="32" spans="1:4" ht="15" thickBot="1" x14ac:dyDescent="0.4">
      <c r="A32" s="461" t="s">
        <v>85</v>
      </c>
      <c r="B32" s="409">
        <v>0</v>
      </c>
      <c r="C32" s="409">
        <v>0</v>
      </c>
      <c r="D32" s="409">
        <v>0</v>
      </c>
    </row>
    <row r="33" spans="1:4" ht="15" thickBot="1" x14ac:dyDescent="0.4">
      <c r="A33" s="194"/>
      <c r="B33" s="198"/>
      <c r="C33" s="258"/>
      <c r="D33" s="198"/>
    </row>
    <row r="34" spans="1:4" ht="15" thickBot="1" x14ac:dyDescent="0.4">
      <c r="A34" s="462" t="s">
        <v>5</v>
      </c>
      <c r="B34" s="102"/>
      <c r="C34" s="265"/>
      <c r="D34" s="102"/>
    </row>
    <row r="35" spans="1:4" x14ac:dyDescent="0.35">
      <c r="A35" s="463" t="s">
        <v>93</v>
      </c>
      <c r="B35" s="219">
        <v>1</v>
      </c>
      <c r="C35" s="266">
        <v>1</v>
      </c>
      <c r="D35" s="219">
        <v>1</v>
      </c>
    </row>
    <row r="36" spans="1:4" x14ac:dyDescent="0.35">
      <c r="A36" s="344" t="s">
        <v>94</v>
      </c>
      <c r="B36" s="219">
        <v>3</v>
      </c>
      <c r="C36" s="267">
        <v>2.2000000000000002</v>
      </c>
      <c r="D36" s="220">
        <v>2</v>
      </c>
    </row>
    <row r="37" spans="1:4" x14ac:dyDescent="0.35">
      <c r="A37" s="344" t="s">
        <v>95</v>
      </c>
      <c r="B37" s="220"/>
      <c r="C37" s="267">
        <v>0</v>
      </c>
      <c r="D37" s="220"/>
    </row>
    <row r="38" spans="1:4" x14ac:dyDescent="0.35">
      <c r="A38" s="344" t="s">
        <v>96</v>
      </c>
      <c r="B38" s="220"/>
      <c r="C38" s="267">
        <v>0</v>
      </c>
      <c r="D38" s="220"/>
    </row>
    <row r="39" spans="1:4" x14ac:dyDescent="0.35">
      <c r="A39" s="344" t="s">
        <v>97</v>
      </c>
      <c r="B39" s="220">
        <v>3</v>
      </c>
      <c r="C39" s="267">
        <v>0</v>
      </c>
      <c r="D39" s="220">
        <v>2</v>
      </c>
    </row>
    <row r="40" spans="1:4" x14ac:dyDescent="0.35">
      <c r="A40" s="464" t="s">
        <v>113</v>
      </c>
      <c r="B40" s="166">
        <v>4</v>
      </c>
      <c r="C40" s="93">
        <v>0</v>
      </c>
      <c r="D40" s="166"/>
    </row>
    <row r="41" spans="1:4" x14ac:dyDescent="0.35">
      <c r="A41" s="464" t="s">
        <v>5</v>
      </c>
      <c r="B41" s="166">
        <v>5</v>
      </c>
      <c r="C41" s="93">
        <v>0</v>
      </c>
      <c r="D41" s="166"/>
    </row>
    <row r="42" spans="1:4" x14ac:dyDescent="0.35">
      <c r="A42" s="464" t="s">
        <v>114</v>
      </c>
      <c r="B42" s="166">
        <v>30</v>
      </c>
      <c r="C42" s="93">
        <v>12</v>
      </c>
      <c r="D42" s="166">
        <v>20</v>
      </c>
    </row>
    <row r="43" spans="1:4" ht="15" thickBot="1" x14ac:dyDescent="0.4">
      <c r="A43" s="464" t="s">
        <v>170</v>
      </c>
      <c r="B43" s="166"/>
      <c r="C43" s="93"/>
      <c r="D43" s="166"/>
    </row>
    <row r="44" spans="1:4" ht="15" thickBot="1" x14ac:dyDescent="0.4">
      <c r="A44" s="466" t="s">
        <v>85</v>
      </c>
      <c r="B44" s="341">
        <f>SUM(B35:B43)</f>
        <v>46</v>
      </c>
      <c r="C44" s="341">
        <f t="shared" ref="C44:D44" si="3">SUM(C35:C43)</f>
        <v>15.2</v>
      </c>
      <c r="D44" s="341">
        <f t="shared" si="3"/>
        <v>25</v>
      </c>
    </row>
    <row r="45" spans="1:4" ht="15" thickBot="1" x14ac:dyDescent="0.4">
      <c r="A45" s="249"/>
      <c r="B45" s="168"/>
      <c r="C45" s="167"/>
      <c r="D45" s="168"/>
    </row>
    <row r="46" spans="1:4" ht="19" thickBot="1" x14ac:dyDescent="0.5">
      <c r="A46" s="391" t="s">
        <v>10</v>
      </c>
      <c r="B46" s="223">
        <f>B13+B21+B25+B29+B32+B44</f>
        <v>1544</v>
      </c>
      <c r="C46" s="223">
        <f>C44+C32+C29+C25+C21+C13</f>
        <v>1534.8</v>
      </c>
      <c r="D46" s="223">
        <f>D44+D32+D29+D25+D21+D13</f>
        <v>1195.38894</v>
      </c>
    </row>
    <row r="47" spans="1:4" x14ac:dyDescent="0.35">
      <c r="A47" s="396"/>
      <c r="B47" s="396"/>
      <c r="C47" s="396"/>
      <c r="D47" s="396"/>
    </row>
    <row r="48" spans="1:4" x14ac:dyDescent="0.35">
      <c r="A48" s="197"/>
      <c r="B48" s="197"/>
      <c r="C48" s="197"/>
      <c r="D48" s="396"/>
    </row>
    <row r="49" spans="1:5" x14ac:dyDescent="0.35">
      <c r="A49" s="396"/>
      <c r="B49" s="396"/>
      <c r="C49" s="396"/>
      <c r="D49" s="26"/>
      <c r="E49" s="26"/>
    </row>
    <row r="50" spans="1:5" x14ac:dyDescent="0.35">
      <c r="A50" s="396"/>
      <c r="B50" s="544"/>
      <c r="C50" s="544"/>
      <c r="D50" s="544"/>
      <c r="E50" s="545"/>
    </row>
    <row r="51" spans="1:5" x14ac:dyDescent="0.35">
      <c r="A51" s="396"/>
      <c r="B51" s="396"/>
      <c r="C51" s="396"/>
      <c r="D51" s="396"/>
    </row>
    <row r="52" spans="1:5" x14ac:dyDescent="0.35">
      <c r="A52" s="396"/>
      <c r="B52" s="396"/>
      <c r="C52" s="396"/>
      <c r="D52" s="396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4</vt:i4>
      </vt:variant>
    </vt:vector>
  </HeadingPairs>
  <TitlesOfParts>
    <vt:vector size="24" baseType="lpstr">
      <vt:lpstr>NEW</vt:lpstr>
      <vt:lpstr>NEW (2)</vt:lpstr>
      <vt:lpstr>celkový plán 2021</vt:lpstr>
      <vt:lpstr>Komentář ON</vt:lpstr>
      <vt:lpstr>Komentář ostatní N</vt:lpstr>
      <vt:lpstr>3900</vt:lpstr>
      <vt:lpstr>3901</vt:lpstr>
      <vt:lpstr>3903</vt:lpstr>
      <vt:lpstr>3904</vt:lpstr>
      <vt:lpstr>3905</vt:lpstr>
      <vt:lpstr>3906</vt:lpstr>
      <vt:lpstr>3907</vt:lpstr>
      <vt:lpstr>3908</vt:lpstr>
      <vt:lpstr>3911</vt:lpstr>
      <vt:lpstr>3912</vt:lpstr>
      <vt:lpstr>3913</vt:lpstr>
      <vt:lpstr>3915</vt:lpstr>
      <vt:lpstr>3740</vt:lpstr>
      <vt:lpstr>3960</vt:lpstr>
      <vt:lpstr>3210</vt:lpstr>
      <vt:lpstr>'celkový plán 2021'!Oblast_tisku</vt:lpstr>
      <vt:lpstr>'Komentář ON'!Oblast_tisku</vt:lpstr>
      <vt:lpstr>'Komentář ostatní N'!Oblast_tisku</vt:lpstr>
      <vt:lpstr>'NEW (2)'!Oblast_tisku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Lenka Copková</dc:creator>
  <cp:lastModifiedBy>Doc. RNDr. Martin Kubala, Ph.D.</cp:lastModifiedBy>
  <cp:lastPrinted>2021-07-29T08:05:05Z</cp:lastPrinted>
  <dcterms:created xsi:type="dcterms:W3CDTF">2016-03-08T12:55:56Z</dcterms:created>
  <dcterms:modified xsi:type="dcterms:W3CDTF">2021-10-12T20:36:29Z</dcterms:modified>
</cp:coreProperties>
</file>